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harepoint.ocimf.org/OCIMFStaff/Publications/Shared Documents/OCIMF Publications/New Publications (work in progress)/Heading Control Guidelines for F(P)SOs/"/>
    </mc:Choice>
  </mc:AlternateContent>
  <xr:revisionPtr revIDLastSave="0" documentId="8_{79A5F9CC-1231-4014-9225-665FE89CBEC3}" xr6:coauthVersionLast="45" xr6:coauthVersionMax="45" xr10:uidLastSave="{00000000-0000-0000-0000-000000000000}"/>
  <bookViews>
    <workbookView showSheetTabs="0" xWindow="23110" yWindow="310" windowWidth="14400" windowHeight="7440" xr2:uid="{00000000-000D-0000-FFFF-FFFF00000000}"/>
  </bookViews>
  <sheets>
    <sheet name="Tool" sheetId="1" r:id="rId1"/>
    <sheet name="S" sheetId="3" state="hidden" r:id="rId2"/>
    <sheet name="MZ" sheetId="2" state="hidden" r:id="rId3"/>
    <sheet name="Vis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8" i="4" l="1"/>
  <c r="W19" i="1"/>
  <c r="F60" i="4" s="1"/>
  <c r="F57" i="4"/>
  <c r="F59" i="4"/>
  <c r="F32" i="1"/>
  <c r="G32" i="1"/>
  <c r="F56" i="4" s="1"/>
  <c r="G31" i="1" l="1"/>
  <c r="W18" i="1"/>
  <c r="W4" i="1"/>
  <c r="E32" i="1" l="1"/>
  <c r="C32" i="1"/>
  <c r="B32" i="1"/>
  <c r="R19" i="1"/>
  <c r="V19" i="1"/>
  <c r="U19" i="1"/>
  <c r="S19" i="1"/>
  <c r="G30" i="1" l="1"/>
  <c r="W11" i="1" l="1"/>
  <c r="W12" i="1"/>
  <c r="W7" i="1"/>
  <c r="W6" i="1"/>
  <c r="F24" i="1" s="1"/>
  <c r="W32" i="1" l="1"/>
  <c r="W2" i="1" l="1"/>
  <c r="G22" i="1"/>
  <c r="A3" i="2" s="1"/>
  <c r="W17" i="1" l="1"/>
  <c r="H14" i="4"/>
  <c r="V52" i="4"/>
  <c r="V56" i="4" s="1"/>
  <c r="U43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A6" i="4"/>
  <c r="A7" i="4" s="1"/>
  <c r="A14" i="4" s="1"/>
  <c r="A15" i="4" s="1"/>
  <c r="B5" i="4"/>
  <c r="B6" i="4" s="1"/>
  <c r="B7" i="4" s="1"/>
  <c r="B9" i="4" s="1"/>
  <c r="A5" i="4"/>
  <c r="O3" i="4"/>
  <c r="B10" i="4" l="1"/>
  <c r="B12" i="4" s="1"/>
  <c r="B14" i="4" s="1"/>
  <c r="B15" i="4" s="1"/>
  <c r="B11" i="4"/>
  <c r="V60" i="4"/>
  <c r="A9" i="4"/>
  <c r="V64" i="4" l="1"/>
  <c r="A11" i="4"/>
  <c r="A12" i="4" s="1"/>
  <c r="A10" i="4"/>
  <c r="V68" i="4" l="1"/>
  <c r="V72" i="4" l="1"/>
  <c r="V76" i="4" l="1"/>
  <c r="V80" i="4" l="1"/>
  <c r="V84" i="4" l="1"/>
  <c r="V88" i="4" l="1"/>
  <c r="V92" i="4" l="1"/>
  <c r="V96" i="4" l="1"/>
  <c r="V100" i="4" l="1"/>
  <c r="V104" i="4" l="1"/>
  <c r="V108" i="4" l="1"/>
  <c r="V112" i="4" l="1"/>
  <c r="V116" i="4" l="1"/>
  <c r="V120" i="4" l="1"/>
  <c r="V124" i="4" l="1"/>
  <c r="V128" i="4" l="1"/>
  <c r="V132" i="4" l="1"/>
  <c r="V136" i="4" l="1"/>
  <c r="V140" i="4" l="1"/>
  <c r="V144" i="4" l="1"/>
  <c r="V148" i="4" l="1"/>
  <c r="V152" i="4" l="1"/>
  <c r="V156" i="4" l="1"/>
  <c r="V160" i="4" l="1"/>
  <c r="V164" i="4" l="1"/>
  <c r="V168" i="4" l="1"/>
  <c r="V172" i="4" l="1"/>
  <c r="V176" i="4" l="1"/>
  <c r="V180" i="4" l="1"/>
  <c r="V184" i="4" l="1"/>
  <c r="V188" i="4" l="1"/>
  <c r="V192" i="4" l="1"/>
  <c r="V196" i="4" l="1"/>
  <c r="V200" i="4" l="1"/>
  <c r="V204" i="4" l="1"/>
  <c r="D30" i="3" l="1"/>
  <c r="A30" i="3"/>
  <c r="D29" i="3"/>
  <c r="A29" i="3"/>
  <c r="D28" i="3"/>
  <c r="A28" i="3"/>
  <c r="D27" i="3"/>
  <c r="A27" i="3"/>
  <c r="D26" i="3"/>
  <c r="A26" i="3"/>
  <c r="D25" i="3"/>
  <c r="A25" i="3"/>
  <c r="D24" i="3"/>
  <c r="A24" i="3"/>
  <c r="D23" i="3"/>
  <c r="A23" i="3"/>
  <c r="D22" i="3"/>
  <c r="A22" i="3"/>
  <c r="D21" i="3"/>
  <c r="A21" i="3"/>
  <c r="D20" i="3"/>
  <c r="A20" i="3"/>
  <c r="D19" i="3"/>
  <c r="A19" i="3"/>
  <c r="D18" i="3"/>
  <c r="A18" i="3"/>
  <c r="D17" i="3"/>
  <c r="A17" i="3"/>
  <c r="D16" i="3"/>
  <c r="A16" i="3"/>
  <c r="D15" i="3"/>
  <c r="A15" i="3"/>
  <c r="D14" i="3"/>
  <c r="A14" i="3"/>
  <c r="D13" i="3"/>
  <c r="A13" i="3"/>
  <c r="D12" i="3"/>
  <c r="A12" i="3"/>
  <c r="D11" i="3"/>
  <c r="A11" i="3"/>
  <c r="D10" i="3"/>
  <c r="A10" i="3"/>
  <c r="D9" i="3"/>
  <c r="A9" i="3"/>
  <c r="D8" i="3"/>
  <c r="A8" i="3"/>
  <c r="D7" i="3"/>
  <c r="A7" i="3"/>
  <c r="D6" i="3"/>
  <c r="A6" i="3"/>
  <c r="D5" i="3"/>
  <c r="A5" i="3"/>
  <c r="D4" i="3"/>
  <c r="A4" i="3"/>
  <c r="D3" i="3"/>
  <c r="A3" i="3"/>
  <c r="D2" i="3"/>
  <c r="A2" i="3"/>
  <c r="G26" i="1"/>
  <c r="W9" i="1"/>
  <c r="V13" i="1"/>
  <c r="W31" i="1"/>
  <c r="W30" i="1"/>
  <c r="W29" i="1"/>
  <c r="W27" i="1"/>
  <c r="W26" i="1"/>
  <c r="W25" i="1"/>
  <c r="W23" i="1"/>
  <c r="W22" i="1"/>
  <c r="W21" i="1"/>
  <c r="R6" i="4"/>
  <c r="W15" i="1"/>
  <c r="W5" i="1"/>
  <c r="W3" i="1"/>
  <c r="G23" i="1"/>
  <c r="G19" i="1"/>
  <c r="G15" i="1"/>
  <c r="G13" i="1"/>
  <c r="H31" i="4" s="1"/>
  <c r="G11" i="1"/>
  <c r="F31" i="4" s="1"/>
  <c r="G9" i="1"/>
  <c r="D31" i="4" s="1"/>
  <c r="G5" i="1"/>
  <c r="B31" i="4" s="1"/>
  <c r="G18" i="1"/>
  <c r="G14" i="1"/>
  <c r="W8" i="1"/>
  <c r="U38" i="4" s="1"/>
  <c r="G12" i="1"/>
  <c r="H32" i="4" s="1"/>
  <c r="G10" i="1"/>
  <c r="F32" i="4" s="1"/>
  <c r="G8" i="1"/>
  <c r="G7" i="1"/>
  <c r="G6" i="1"/>
  <c r="D32" i="4" s="1"/>
  <c r="G4" i="1"/>
  <c r="G3" i="1"/>
  <c r="G2" i="1"/>
  <c r="B32" i="4" s="1"/>
  <c r="H41" i="4" l="1"/>
  <c r="H36" i="4"/>
  <c r="H44" i="4"/>
  <c r="H40" i="4"/>
  <c r="H34" i="4"/>
  <c r="H43" i="4"/>
  <c r="H39" i="4"/>
  <c r="H33" i="4"/>
  <c r="H42" i="4"/>
  <c r="H37" i="4"/>
  <c r="C33" i="4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D33" i="4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F36" i="4"/>
  <c r="F40" i="4"/>
  <c r="F33" i="4"/>
  <c r="F35" i="4"/>
  <c r="F34" i="4"/>
  <c r="F37" i="4"/>
  <c r="F41" i="4"/>
  <c r="F38" i="4"/>
  <c r="F42" i="4"/>
  <c r="F39" i="4"/>
  <c r="B35" i="4"/>
  <c r="B39" i="4"/>
  <c r="B43" i="4"/>
  <c r="B33" i="4"/>
  <c r="B36" i="4"/>
  <c r="B40" i="4"/>
  <c r="B44" i="4"/>
  <c r="B37" i="4"/>
  <c r="B45" i="4"/>
  <c r="B38" i="4"/>
  <c r="B42" i="4"/>
  <c r="B34" i="4"/>
  <c r="B41" i="4"/>
  <c r="W16" i="1"/>
  <c r="V32" i="1"/>
  <c r="R4" i="4"/>
  <c r="V17" i="1"/>
  <c r="A4" i="2"/>
  <c r="G44" i="4"/>
  <c r="G42" i="4"/>
  <c r="G40" i="4"/>
  <c r="G37" i="4"/>
  <c r="G34" i="4"/>
  <c r="G43" i="4"/>
  <c r="G41" i="4"/>
  <c r="G39" i="4"/>
  <c r="G36" i="4"/>
  <c r="E34" i="4"/>
  <c r="E35" i="4" s="1"/>
  <c r="E36" i="4" s="1"/>
  <c r="E37" i="4" s="1"/>
  <c r="E38" i="4" s="1"/>
  <c r="E39" i="4" s="1"/>
  <c r="E40" i="4" s="1"/>
  <c r="E41" i="4" s="1"/>
  <c r="E42" i="4" s="1"/>
  <c r="A34" i="4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33" i="4"/>
  <c r="W20" i="1"/>
  <c r="U40" i="4"/>
  <c r="G33" i="4"/>
  <c r="W24" i="1"/>
  <c r="W28" i="4"/>
  <c r="W24" i="4"/>
  <c r="W29" i="4"/>
  <c r="W25" i="4"/>
  <c r="W21" i="4"/>
  <c r="W26" i="4"/>
  <c r="W22" i="4"/>
  <c r="W27" i="4"/>
  <c r="W23" i="4"/>
  <c r="E33" i="4"/>
  <c r="W28" i="1"/>
  <c r="W36" i="4"/>
  <c r="W35" i="4"/>
  <c r="W32" i="4"/>
  <c r="W37" i="4"/>
  <c r="W33" i="4"/>
  <c r="W34" i="4"/>
  <c r="W39" i="4"/>
  <c r="W38" i="4"/>
  <c r="W31" i="4"/>
  <c r="G20" i="1"/>
  <c r="U42" i="4"/>
  <c r="K15" i="4"/>
  <c r="K14" i="4"/>
  <c r="K13" i="4"/>
  <c r="K9" i="4"/>
  <c r="K8" i="4"/>
  <c r="K6" i="4"/>
  <c r="K12" i="4"/>
  <c r="K11" i="4"/>
  <c r="K7" i="4"/>
  <c r="K5" i="4"/>
  <c r="K10" i="4"/>
  <c r="W48" i="4"/>
  <c r="W47" i="4"/>
  <c r="W46" i="4"/>
  <c r="W45" i="4"/>
  <c r="W44" i="4"/>
  <c r="W41" i="4"/>
  <c r="W49" i="4"/>
  <c r="W43" i="4"/>
  <c r="W42" i="4"/>
  <c r="I15" i="4"/>
  <c r="I14" i="4"/>
  <c r="I13" i="4"/>
  <c r="I12" i="4"/>
  <c r="I11" i="4"/>
  <c r="I8" i="4"/>
  <c r="I6" i="4"/>
  <c r="I10" i="4"/>
  <c r="I7" i="4"/>
  <c r="I9" i="4"/>
  <c r="I5" i="4"/>
  <c r="G30" i="3"/>
  <c r="H30" i="3" s="1"/>
  <c r="E30" i="3"/>
  <c r="F30" i="3" s="1"/>
  <c r="H34" i="3"/>
  <c r="J34" i="3" s="1"/>
  <c r="H35" i="3"/>
  <c r="J35" i="3" s="1"/>
  <c r="F25" i="1"/>
  <c r="G2" i="3"/>
  <c r="H2" i="3" s="1"/>
  <c r="G3" i="3"/>
  <c r="H3" i="3" s="1"/>
  <c r="G4" i="3"/>
  <c r="H4" i="3" s="1"/>
  <c r="G5" i="3"/>
  <c r="H5" i="3" s="1"/>
  <c r="G6" i="3"/>
  <c r="H6" i="3" s="1"/>
  <c r="G7" i="3"/>
  <c r="H7" i="3" s="1"/>
  <c r="G8" i="3"/>
  <c r="H8" i="3" s="1"/>
  <c r="G9" i="3"/>
  <c r="H9" i="3" s="1"/>
  <c r="G10" i="3"/>
  <c r="H10" i="3" s="1"/>
  <c r="G11" i="3"/>
  <c r="H11" i="3" s="1"/>
  <c r="G12" i="3"/>
  <c r="H12" i="3" s="1"/>
  <c r="G13" i="3"/>
  <c r="H13" i="3" s="1"/>
  <c r="G14" i="3"/>
  <c r="H14" i="3" s="1"/>
  <c r="G15" i="3"/>
  <c r="H15" i="3" s="1"/>
  <c r="G16" i="3"/>
  <c r="H16" i="3" s="1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 s="1"/>
  <c r="G25" i="3"/>
  <c r="H25" i="3" s="1"/>
  <c r="G26" i="3"/>
  <c r="H26" i="3" s="1"/>
  <c r="G27" i="3"/>
  <c r="H27" i="3" s="1"/>
  <c r="G28" i="3"/>
  <c r="H28" i="3" s="1"/>
  <c r="G29" i="3"/>
  <c r="H29" i="3" s="1"/>
  <c r="E2" i="3"/>
  <c r="F2" i="3" s="1"/>
  <c r="E3" i="3"/>
  <c r="F3" i="3" s="1"/>
  <c r="E4" i="3"/>
  <c r="F4" i="3" s="1"/>
  <c r="E5" i="3"/>
  <c r="F5" i="3" s="1"/>
  <c r="E6" i="3"/>
  <c r="F6" i="3" s="1"/>
  <c r="E7" i="3"/>
  <c r="F7" i="3" s="1"/>
  <c r="E8" i="3"/>
  <c r="F8" i="3" s="1"/>
  <c r="E9" i="3"/>
  <c r="F9" i="3" s="1"/>
  <c r="E10" i="3"/>
  <c r="F10" i="3" s="1"/>
  <c r="E11" i="3"/>
  <c r="F11" i="3" s="1"/>
  <c r="E12" i="3"/>
  <c r="F12" i="3" s="1"/>
  <c r="E13" i="3"/>
  <c r="F13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20" i="3"/>
  <c r="F20" i="3" s="1"/>
  <c r="E21" i="3"/>
  <c r="F21" i="3" s="1"/>
  <c r="E22" i="3"/>
  <c r="F22" i="3" s="1"/>
  <c r="E23" i="3"/>
  <c r="F23" i="3" s="1"/>
  <c r="E24" i="3"/>
  <c r="F24" i="3" s="1"/>
  <c r="E25" i="3"/>
  <c r="F25" i="3" s="1"/>
  <c r="E26" i="3"/>
  <c r="F26" i="3" s="1"/>
  <c r="E27" i="3"/>
  <c r="F27" i="3" s="1"/>
  <c r="E28" i="3"/>
  <c r="F28" i="3" s="1"/>
  <c r="E29" i="3"/>
  <c r="F29" i="3" s="1"/>
  <c r="G27" i="1"/>
  <c r="V28" i="1"/>
  <c r="V20" i="1"/>
  <c r="V24" i="1"/>
  <c r="W13" i="1"/>
  <c r="W10" i="1"/>
  <c r="J15" i="4" s="1"/>
  <c r="G24" i="1"/>
  <c r="G21" i="1"/>
  <c r="G16" i="1"/>
  <c r="G17" i="1"/>
  <c r="G25" i="1"/>
  <c r="E3" i="2" l="1"/>
  <c r="K3" i="2" s="1"/>
  <c r="D3" i="2"/>
  <c r="I3" i="2" s="1"/>
  <c r="C3" i="2"/>
  <c r="F28" i="1"/>
  <c r="G29" i="1"/>
  <c r="G28" i="1"/>
  <c r="G3" i="2"/>
  <c r="O3" i="2" s="1"/>
  <c r="F3" i="2"/>
  <c r="N3" i="2" s="1"/>
  <c r="B3" i="2"/>
  <c r="I17" i="3"/>
  <c r="J4" i="3"/>
  <c r="F4" i="2"/>
  <c r="N4" i="2" s="1"/>
  <c r="A5" i="2"/>
  <c r="A6" i="2" s="1"/>
  <c r="G4" i="2"/>
  <c r="B4" i="2"/>
  <c r="D4" i="2"/>
  <c r="I4" i="2" s="1"/>
  <c r="C4" i="2"/>
  <c r="E4" i="2"/>
  <c r="K4" i="2" s="1"/>
  <c r="J25" i="3"/>
  <c r="I28" i="3"/>
  <c r="I11" i="3"/>
  <c r="J14" i="3"/>
  <c r="I25" i="3"/>
  <c r="J9" i="3"/>
  <c r="J20" i="3"/>
  <c r="J30" i="3"/>
  <c r="I9" i="3"/>
  <c r="I23" i="3"/>
  <c r="J6" i="3"/>
  <c r="J17" i="3"/>
  <c r="J28" i="3"/>
  <c r="I3" i="3"/>
  <c r="I20" i="3"/>
  <c r="I30" i="3"/>
  <c r="J12" i="3"/>
  <c r="J22" i="3"/>
  <c r="I6" i="3"/>
  <c r="I15" i="3"/>
  <c r="J2" i="3"/>
  <c r="J8" i="3"/>
  <c r="J13" i="3"/>
  <c r="J18" i="3"/>
  <c r="J24" i="3"/>
  <c r="J29" i="3"/>
  <c r="I7" i="3"/>
  <c r="I8" i="3"/>
  <c r="I16" i="3"/>
  <c r="I21" i="3"/>
  <c r="I27" i="3"/>
  <c r="J5" i="3"/>
  <c r="J10" i="3"/>
  <c r="J16" i="3"/>
  <c r="J21" i="3"/>
  <c r="J26" i="3"/>
  <c r="I4" i="3"/>
  <c r="I12" i="3"/>
  <c r="I13" i="3"/>
  <c r="I19" i="3"/>
  <c r="I24" i="3"/>
  <c r="I29" i="3"/>
  <c r="P15" i="4"/>
  <c r="O15" i="4"/>
  <c r="D4" i="4"/>
  <c r="D5" i="4" s="1"/>
  <c r="E4" i="4"/>
  <c r="E5" i="4" s="1"/>
  <c r="V49" i="4"/>
  <c r="V53" i="4"/>
  <c r="V57" i="4"/>
  <c r="V61" i="4"/>
  <c r="V65" i="4"/>
  <c r="V69" i="4"/>
  <c r="V73" i="4"/>
  <c r="V77" i="4"/>
  <c r="V81" i="4"/>
  <c r="V85" i="4"/>
  <c r="V89" i="4"/>
  <c r="V93" i="4"/>
  <c r="V97" i="4"/>
  <c r="V101" i="4"/>
  <c r="V105" i="4"/>
  <c r="V109" i="4"/>
  <c r="V113" i="4"/>
  <c r="V117" i="4"/>
  <c r="V121" i="4"/>
  <c r="V125" i="4"/>
  <c r="V129" i="4"/>
  <c r="V133" i="4"/>
  <c r="V137" i="4"/>
  <c r="V141" i="4"/>
  <c r="V145" i="4"/>
  <c r="V149" i="4"/>
  <c r="V153" i="4"/>
  <c r="V157" i="4"/>
  <c r="V161" i="4"/>
  <c r="V165" i="4"/>
  <c r="V169" i="4"/>
  <c r="V173" i="4"/>
  <c r="V177" i="4"/>
  <c r="V181" i="4"/>
  <c r="V185" i="4"/>
  <c r="V189" i="4"/>
  <c r="V193" i="4"/>
  <c r="V197" i="4"/>
  <c r="V201" i="4"/>
  <c r="V205" i="4"/>
  <c r="E7" i="4"/>
  <c r="E8" i="4" s="1"/>
  <c r="D7" i="4"/>
  <c r="D8" i="4" s="1"/>
  <c r="Y49" i="4"/>
  <c r="Z48" i="4"/>
  <c r="Z47" i="4"/>
  <c r="Z46" i="4"/>
  <c r="Z45" i="4"/>
  <c r="Z44" i="4"/>
  <c r="X43" i="4"/>
  <c r="X42" i="4"/>
  <c r="Z41" i="4"/>
  <c r="Z49" i="4"/>
  <c r="Y43" i="4"/>
  <c r="Y42" i="4"/>
  <c r="X48" i="4"/>
  <c r="X47" i="4"/>
  <c r="X46" i="4"/>
  <c r="X45" i="4"/>
  <c r="X44" i="4"/>
  <c r="Z43" i="4"/>
  <c r="Z42" i="4"/>
  <c r="X41" i="4"/>
  <c r="X49" i="4"/>
  <c r="Y48" i="4"/>
  <c r="Y47" i="4"/>
  <c r="Y46" i="4"/>
  <c r="Y45" i="4"/>
  <c r="Y44" i="4"/>
  <c r="Y41" i="4"/>
  <c r="J6" i="4"/>
  <c r="J11" i="4"/>
  <c r="J5" i="4"/>
  <c r="X39" i="4"/>
  <c r="X38" i="4"/>
  <c r="Z37" i="4"/>
  <c r="Y34" i="4"/>
  <c r="Z33" i="4"/>
  <c r="X31" i="4"/>
  <c r="Y39" i="4"/>
  <c r="Y38" i="4"/>
  <c r="X36" i="4"/>
  <c r="X35" i="4"/>
  <c r="Z34" i="4"/>
  <c r="X32" i="4"/>
  <c r="Y31" i="4"/>
  <c r="Z39" i="4"/>
  <c r="Z38" i="4"/>
  <c r="X37" i="4"/>
  <c r="Y36" i="4"/>
  <c r="Y35" i="4"/>
  <c r="X33" i="4"/>
  <c r="Y32" i="4"/>
  <c r="Z31" i="4"/>
  <c r="Y37" i="4"/>
  <c r="Z36" i="4"/>
  <c r="Z35" i="4"/>
  <c r="X34" i="4"/>
  <c r="Y33" i="4"/>
  <c r="Z32" i="4"/>
  <c r="Z29" i="4"/>
  <c r="X27" i="4"/>
  <c r="Y26" i="4"/>
  <c r="Z25" i="4"/>
  <c r="X23" i="4"/>
  <c r="Y22" i="4"/>
  <c r="Z21" i="4"/>
  <c r="X28" i="4"/>
  <c r="Y27" i="4"/>
  <c r="Z26" i="4"/>
  <c r="X24" i="4"/>
  <c r="Y23" i="4"/>
  <c r="Z22" i="4"/>
  <c r="X29" i="4"/>
  <c r="Y28" i="4"/>
  <c r="Z27" i="4"/>
  <c r="X25" i="4"/>
  <c r="Y24" i="4"/>
  <c r="Z23" i="4"/>
  <c r="X21" i="4"/>
  <c r="Y29" i="4"/>
  <c r="Z28" i="4"/>
  <c r="X26" i="4"/>
  <c r="Y25" i="4"/>
  <c r="Z24" i="4"/>
  <c r="X22" i="4"/>
  <c r="Y21" i="4"/>
  <c r="J13" i="4"/>
  <c r="J7" i="4"/>
  <c r="J10" i="4"/>
  <c r="R38" i="4"/>
  <c r="R5" i="4"/>
  <c r="R12" i="4" s="1"/>
  <c r="J12" i="4"/>
  <c r="J9" i="4"/>
  <c r="J8" i="4"/>
  <c r="J14" i="4"/>
  <c r="J3" i="3"/>
  <c r="J7" i="3"/>
  <c r="J11" i="3"/>
  <c r="J15" i="3"/>
  <c r="J19" i="3"/>
  <c r="J23" i="3"/>
  <c r="J27" i="3"/>
  <c r="I2" i="3"/>
  <c r="I10" i="3"/>
  <c r="I5" i="3"/>
  <c r="I14" i="3"/>
  <c r="I18" i="3"/>
  <c r="I22" i="3"/>
  <c r="I26" i="3"/>
  <c r="H32" i="3"/>
  <c r="F32" i="3"/>
  <c r="V17" i="2"/>
  <c r="O4" i="2"/>
  <c r="F29" i="1"/>
  <c r="V14" i="1"/>
  <c r="W14" i="1"/>
  <c r="H4" i="2" l="1"/>
  <c r="J4" i="2" s="1"/>
  <c r="L3" i="2"/>
  <c r="M3" i="2" s="1"/>
  <c r="I32" i="3"/>
  <c r="P2" i="2" s="1"/>
  <c r="P3" i="2" s="1"/>
  <c r="J32" i="3"/>
  <c r="Q2" i="2" s="1"/>
  <c r="Q3" i="2" s="1"/>
  <c r="L4" i="2"/>
  <c r="M4" i="2" s="1"/>
  <c r="H3" i="2"/>
  <c r="J3" i="2" s="1"/>
  <c r="B5" i="2"/>
  <c r="C5" i="2"/>
  <c r="E5" i="2"/>
  <c r="L5" i="2" s="1"/>
  <c r="D5" i="2"/>
  <c r="I5" i="2" s="1"/>
  <c r="F5" i="2"/>
  <c r="N5" i="2" s="1"/>
  <c r="G5" i="2"/>
  <c r="O5" i="2" s="1"/>
  <c r="P14" i="4"/>
  <c r="O14" i="4"/>
  <c r="P10" i="4"/>
  <c r="O10" i="4"/>
  <c r="O13" i="4"/>
  <c r="P13" i="4"/>
  <c r="O11" i="4"/>
  <c r="P11" i="4"/>
  <c r="V194" i="4"/>
  <c r="V195" i="4" s="1"/>
  <c r="V178" i="4"/>
  <c r="V179" i="4" s="1"/>
  <c r="V162" i="4"/>
  <c r="V163" i="4" s="1"/>
  <c r="V146" i="4"/>
  <c r="V147" i="4" s="1"/>
  <c r="V130" i="4"/>
  <c r="V131" i="4" s="1"/>
  <c r="V114" i="4"/>
  <c r="V115" i="4" s="1"/>
  <c r="V98" i="4"/>
  <c r="V99" i="4" s="1"/>
  <c r="V82" i="4"/>
  <c r="V83" i="4" s="1"/>
  <c r="V66" i="4"/>
  <c r="V67" i="4" s="1"/>
  <c r="V50" i="4"/>
  <c r="V51" i="4" s="1"/>
  <c r="O12" i="4"/>
  <c r="P12" i="4"/>
  <c r="O5" i="4"/>
  <c r="AC3" i="4" s="1"/>
  <c r="P5" i="4"/>
  <c r="AD3" i="4" s="1"/>
  <c r="V182" i="4"/>
  <c r="V183" i="4" s="1"/>
  <c r="V150" i="4"/>
  <c r="V151" i="4" s="1"/>
  <c r="V134" i="4"/>
  <c r="V135" i="4" s="1"/>
  <c r="V118" i="4"/>
  <c r="V119" i="4" s="1"/>
  <c r="V86" i="4"/>
  <c r="V87" i="4" s="1"/>
  <c r="V70" i="4"/>
  <c r="V71" i="4" s="1"/>
  <c r="V54" i="4"/>
  <c r="V55" i="4" s="1"/>
  <c r="V198" i="4"/>
  <c r="V199" i="4" s="1"/>
  <c r="V166" i="4"/>
  <c r="V167" i="4" s="1"/>
  <c r="V102" i="4"/>
  <c r="V103" i="4" s="1"/>
  <c r="O9" i="4"/>
  <c r="P9" i="4"/>
  <c r="R40" i="4"/>
  <c r="S14" i="4"/>
  <c r="R8" i="4"/>
  <c r="V202" i="4"/>
  <c r="V203" i="4" s="1"/>
  <c r="V186" i="4"/>
  <c r="V187" i="4" s="1"/>
  <c r="V170" i="4"/>
  <c r="V171" i="4" s="1"/>
  <c r="V154" i="4"/>
  <c r="V155" i="4" s="1"/>
  <c r="V138" i="4"/>
  <c r="V139" i="4" s="1"/>
  <c r="V122" i="4"/>
  <c r="V123" i="4" s="1"/>
  <c r="V106" i="4"/>
  <c r="V107" i="4" s="1"/>
  <c r="V90" i="4"/>
  <c r="V91" i="4" s="1"/>
  <c r="V74" i="4"/>
  <c r="V75" i="4" s="1"/>
  <c r="V58" i="4"/>
  <c r="V59" i="4" s="1"/>
  <c r="O8" i="4"/>
  <c r="P8" i="4"/>
  <c r="P7" i="4"/>
  <c r="O7" i="4"/>
  <c r="O6" i="4"/>
  <c r="P6" i="4"/>
  <c r="V206" i="4"/>
  <c r="V207" i="4" s="1"/>
  <c r="V190" i="4"/>
  <c r="V191" i="4" s="1"/>
  <c r="V174" i="4"/>
  <c r="V175" i="4" s="1"/>
  <c r="V158" i="4"/>
  <c r="V159" i="4" s="1"/>
  <c r="V142" i="4"/>
  <c r="V143" i="4" s="1"/>
  <c r="V126" i="4"/>
  <c r="V127" i="4" s="1"/>
  <c r="V110" i="4"/>
  <c r="V111" i="4" s="1"/>
  <c r="V94" i="4"/>
  <c r="V95" i="4" s="1"/>
  <c r="V78" i="4"/>
  <c r="V79" i="4" s="1"/>
  <c r="V62" i="4"/>
  <c r="V63" i="4" s="1"/>
  <c r="A7" i="2"/>
  <c r="E6" i="2"/>
  <c r="B6" i="2"/>
  <c r="F6" i="2"/>
  <c r="N6" i="2" s="1"/>
  <c r="G6" i="2"/>
  <c r="O6" i="2" s="1"/>
  <c r="C6" i="2"/>
  <c r="D6" i="2"/>
  <c r="AC8" i="4" l="1"/>
  <c r="AC13" i="4" s="1"/>
  <c r="AC18" i="4" s="1"/>
  <c r="AC23" i="4" s="1"/>
  <c r="AC28" i="4" s="1"/>
  <c r="AC33" i="4" s="1"/>
  <c r="AC38" i="4" s="1"/>
  <c r="AC43" i="4" s="1"/>
  <c r="AC48" i="4" s="1"/>
  <c r="AC53" i="4" s="1"/>
  <c r="AC58" i="4" s="1"/>
  <c r="AC63" i="4" s="1"/>
  <c r="AC68" i="4" s="1"/>
  <c r="AC73" i="4" s="1"/>
  <c r="AC78" i="4" s="1"/>
  <c r="AC83" i="4" s="1"/>
  <c r="AC88" i="4" s="1"/>
  <c r="AC93" i="4" s="1"/>
  <c r="AC98" i="4" s="1"/>
  <c r="AC103" i="4" s="1"/>
  <c r="AC108" i="4" s="1"/>
  <c r="AC113" i="4" s="1"/>
  <c r="AC118" i="4" s="1"/>
  <c r="AC123" i="4" s="1"/>
  <c r="AC128" i="4" s="1"/>
  <c r="AC133" i="4" s="1"/>
  <c r="AC138" i="4" s="1"/>
  <c r="AC143" i="4" s="1"/>
  <c r="AC148" i="4" s="1"/>
  <c r="AC153" i="4" s="1"/>
  <c r="AC158" i="4" s="1"/>
  <c r="AC163" i="4" s="1"/>
  <c r="AC168" i="4" s="1"/>
  <c r="AC173" i="4" s="1"/>
  <c r="AC178" i="4" s="1"/>
  <c r="AC183" i="4" s="1"/>
  <c r="AC188" i="4" s="1"/>
  <c r="AC193" i="4" s="1"/>
  <c r="AC198" i="4" s="1"/>
  <c r="AC203" i="4" s="1"/>
  <c r="AC208" i="4" s="1"/>
  <c r="AC213" i="4" s="1"/>
  <c r="AC218" i="4" s="1"/>
  <c r="AC223" i="4" s="1"/>
  <c r="AC228" i="4" s="1"/>
  <c r="AC233" i="4" s="1"/>
  <c r="AC238" i="4" s="1"/>
  <c r="AC243" i="4" s="1"/>
  <c r="AC248" i="4" s="1"/>
  <c r="AC253" i="4" s="1"/>
  <c r="AC258" i="4" s="1"/>
  <c r="AC263" i="4" s="1"/>
  <c r="AC268" i="4" s="1"/>
  <c r="AC273" i="4" s="1"/>
  <c r="AC278" i="4" s="1"/>
  <c r="AC283" i="4" s="1"/>
  <c r="AC288" i="4" s="1"/>
  <c r="AC293" i="4" s="1"/>
  <c r="AC298" i="4" s="1"/>
  <c r="AC303" i="4" s="1"/>
  <c r="AC308" i="4" s="1"/>
  <c r="AC313" i="4" s="1"/>
  <c r="AC318" i="4" s="1"/>
  <c r="AC323" i="4" s="1"/>
  <c r="AC328" i="4" s="1"/>
  <c r="AC333" i="4" s="1"/>
  <c r="AC338" i="4" s="1"/>
  <c r="AC343" i="4" s="1"/>
  <c r="AC348" i="4" s="1"/>
  <c r="AC353" i="4" s="1"/>
  <c r="AC358" i="4" s="1"/>
  <c r="AC363" i="4" s="1"/>
  <c r="AC368" i="4" s="1"/>
  <c r="AC373" i="4" s="1"/>
  <c r="AC378" i="4" s="1"/>
  <c r="AC383" i="4" s="1"/>
  <c r="AC388" i="4" s="1"/>
  <c r="AC393" i="4" s="1"/>
  <c r="AC398" i="4" s="1"/>
  <c r="AC403" i="4" s="1"/>
  <c r="AC5" i="4"/>
  <c r="AC10" i="4" s="1"/>
  <c r="AC15" i="4" s="1"/>
  <c r="AC20" i="4" s="1"/>
  <c r="AC25" i="4" s="1"/>
  <c r="AC30" i="4" s="1"/>
  <c r="AC35" i="4" s="1"/>
  <c r="AC40" i="4" s="1"/>
  <c r="AC45" i="4" s="1"/>
  <c r="AC50" i="4" s="1"/>
  <c r="AC55" i="4" s="1"/>
  <c r="AC60" i="4" s="1"/>
  <c r="AC65" i="4" s="1"/>
  <c r="AC70" i="4" s="1"/>
  <c r="AC75" i="4" s="1"/>
  <c r="AC80" i="4" s="1"/>
  <c r="AC85" i="4" s="1"/>
  <c r="AC90" i="4" s="1"/>
  <c r="AC95" i="4" s="1"/>
  <c r="AC100" i="4" s="1"/>
  <c r="AC105" i="4" s="1"/>
  <c r="AC110" i="4" s="1"/>
  <c r="AC115" i="4" s="1"/>
  <c r="AC120" i="4" s="1"/>
  <c r="AC125" i="4" s="1"/>
  <c r="AC130" i="4" s="1"/>
  <c r="AC135" i="4" s="1"/>
  <c r="AC140" i="4" s="1"/>
  <c r="AC145" i="4" s="1"/>
  <c r="AC150" i="4" s="1"/>
  <c r="AC155" i="4" s="1"/>
  <c r="AC160" i="4" s="1"/>
  <c r="AC165" i="4" s="1"/>
  <c r="AC170" i="4" s="1"/>
  <c r="AC175" i="4" s="1"/>
  <c r="AC180" i="4" s="1"/>
  <c r="AC185" i="4" s="1"/>
  <c r="AC190" i="4" s="1"/>
  <c r="AC195" i="4" s="1"/>
  <c r="AC200" i="4" s="1"/>
  <c r="AC205" i="4" s="1"/>
  <c r="AC210" i="4" s="1"/>
  <c r="AC215" i="4" s="1"/>
  <c r="AC220" i="4" s="1"/>
  <c r="AC225" i="4" s="1"/>
  <c r="AC230" i="4" s="1"/>
  <c r="AC235" i="4" s="1"/>
  <c r="AC240" i="4" s="1"/>
  <c r="AC245" i="4" s="1"/>
  <c r="AC250" i="4" s="1"/>
  <c r="AC255" i="4" s="1"/>
  <c r="AC260" i="4" s="1"/>
  <c r="AC265" i="4" s="1"/>
  <c r="AC270" i="4" s="1"/>
  <c r="AC275" i="4" s="1"/>
  <c r="AC280" i="4" s="1"/>
  <c r="AC285" i="4" s="1"/>
  <c r="AC290" i="4" s="1"/>
  <c r="AC295" i="4" s="1"/>
  <c r="AC300" i="4" s="1"/>
  <c r="AC305" i="4" s="1"/>
  <c r="AC310" i="4" s="1"/>
  <c r="AC315" i="4" s="1"/>
  <c r="AC320" i="4" s="1"/>
  <c r="AC325" i="4" s="1"/>
  <c r="AC330" i="4" s="1"/>
  <c r="AC335" i="4" s="1"/>
  <c r="AC340" i="4" s="1"/>
  <c r="AC345" i="4" s="1"/>
  <c r="AC350" i="4" s="1"/>
  <c r="AC355" i="4" s="1"/>
  <c r="AC360" i="4" s="1"/>
  <c r="AC365" i="4" s="1"/>
  <c r="AC370" i="4" s="1"/>
  <c r="AC375" i="4" s="1"/>
  <c r="AC380" i="4" s="1"/>
  <c r="AC385" i="4" s="1"/>
  <c r="AC390" i="4" s="1"/>
  <c r="AC395" i="4" s="1"/>
  <c r="AC400" i="4" s="1"/>
  <c r="AC405" i="4" s="1"/>
  <c r="AC4" i="4"/>
  <c r="AC9" i="4" s="1"/>
  <c r="AC14" i="4" s="1"/>
  <c r="AC19" i="4" s="1"/>
  <c r="AC24" i="4" s="1"/>
  <c r="AC29" i="4" s="1"/>
  <c r="AC34" i="4" s="1"/>
  <c r="AC39" i="4" s="1"/>
  <c r="AC44" i="4" s="1"/>
  <c r="AC49" i="4" s="1"/>
  <c r="AC54" i="4" s="1"/>
  <c r="AC59" i="4" s="1"/>
  <c r="AC64" i="4" s="1"/>
  <c r="AC69" i="4" s="1"/>
  <c r="AC74" i="4" s="1"/>
  <c r="AC79" i="4" s="1"/>
  <c r="AC84" i="4" s="1"/>
  <c r="AC89" i="4" s="1"/>
  <c r="AC94" i="4" s="1"/>
  <c r="AC99" i="4" s="1"/>
  <c r="AC104" i="4" s="1"/>
  <c r="AC109" i="4" s="1"/>
  <c r="AC114" i="4" s="1"/>
  <c r="AC119" i="4" s="1"/>
  <c r="AC124" i="4" s="1"/>
  <c r="AC129" i="4" s="1"/>
  <c r="AC134" i="4" s="1"/>
  <c r="AC139" i="4" s="1"/>
  <c r="AC144" i="4" s="1"/>
  <c r="AC149" i="4" s="1"/>
  <c r="AC154" i="4" s="1"/>
  <c r="AC159" i="4" s="1"/>
  <c r="AC164" i="4" s="1"/>
  <c r="AC169" i="4" s="1"/>
  <c r="AC174" i="4" s="1"/>
  <c r="AC179" i="4" s="1"/>
  <c r="AC184" i="4" s="1"/>
  <c r="AC189" i="4" s="1"/>
  <c r="AC194" i="4" s="1"/>
  <c r="AC199" i="4" s="1"/>
  <c r="AC204" i="4" s="1"/>
  <c r="AC209" i="4" s="1"/>
  <c r="AC214" i="4" s="1"/>
  <c r="AC219" i="4" s="1"/>
  <c r="AC224" i="4" s="1"/>
  <c r="AC229" i="4" s="1"/>
  <c r="AC234" i="4" s="1"/>
  <c r="AC239" i="4" s="1"/>
  <c r="AC244" i="4" s="1"/>
  <c r="AC249" i="4" s="1"/>
  <c r="AC254" i="4" s="1"/>
  <c r="AC259" i="4" s="1"/>
  <c r="AC264" i="4" s="1"/>
  <c r="AC269" i="4" s="1"/>
  <c r="AC274" i="4" s="1"/>
  <c r="AC279" i="4" s="1"/>
  <c r="AC284" i="4" s="1"/>
  <c r="AC289" i="4" s="1"/>
  <c r="AC294" i="4" s="1"/>
  <c r="AC299" i="4" s="1"/>
  <c r="AC304" i="4" s="1"/>
  <c r="AC309" i="4" s="1"/>
  <c r="AC314" i="4" s="1"/>
  <c r="AC319" i="4" s="1"/>
  <c r="AC324" i="4" s="1"/>
  <c r="AC329" i="4" s="1"/>
  <c r="AC334" i="4" s="1"/>
  <c r="AC339" i="4" s="1"/>
  <c r="AC344" i="4" s="1"/>
  <c r="AC349" i="4" s="1"/>
  <c r="AC354" i="4" s="1"/>
  <c r="AC359" i="4" s="1"/>
  <c r="AC364" i="4" s="1"/>
  <c r="AC369" i="4" s="1"/>
  <c r="AC374" i="4" s="1"/>
  <c r="AC379" i="4" s="1"/>
  <c r="AC384" i="4" s="1"/>
  <c r="AC389" i="4" s="1"/>
  <c r="AC394" i="4" s="1"/>
  <c r="AC399" i="4" s="1"/>
  <c r="AC404" i="4" s="1"/>
  <c r="AC2" i="4"/>
  <c r="AC7" i="4" s="1"/>
  <c r="AC12" i="4" s="1"/>
  <c r="AC17" i="4" s="1"/>
  <c r="AC22" i="4" s="1"/>
  <c r="AC27" i="4" s="1"/>
  <c r="AC32" i="4" s="1"/>
  <c r="AC37" i="4" s="1"/>
  <c r="AC42" i="4" s="1"/>
  <c r="AC47" i="4" s="1"/>
  <c r="AC52" i="4" s="1"/>
  <c r="AC57" i="4" s="1"/>
  <c r="AC62" i="4" s="1"/>
  <c r="AC67" i="4" s="1"/>
  <c r="AC72" i="4" s="1"/>
  <c r="AC77" i="4" s="1"/>
  <c r="AC82" i="4" s="1"/>
  <c r="AC87" i="4" s="1"/>
  <c r="AC92" i="4" s="1"/>
  <c r="AC97" i="4" s="1"/>
  <c r="AC102" i="4" s="1"/>
  <c r="AC107" i="4" s="1"/>
  <c r="AC112" i="4" s="1"/>
  <c r="AC117" i="4" s="1"/>
  <c r="AC122" i="4" s="1"/>
  <c r="AC127" i="4" s="1"/>
  <c r="AC132" i="4" s="1"/>
  <c r="AC137" i="4" s="1"/>
  <c r="AC142" i="4" s="1"/>
  <c r="AC147" i="4" s="1"/>
  <c r="AC152" i="4" s="1"/>
  <c r="AC157" i="4" s="1"/>
  <c r="AC162" i="4" s="1"/>
  <c r="AC167" i="4" s="1"/>
  <c r="AC172" i="4" s="1"/>
  <c r="AC177" i="4" s="1"/>
  <c r="AC182" i="4" s="1"/>
  <c r="AC187" i="4" s="1"/>
  <c r="AC192" i="4" s="1"/>
  <c r="AC197" i="4" s="1"/>
  <c r="AC202" i="4" s="1"/>
  <c r="AC207" i="4" s="1"/>
  <c r="AC212" i="4" s="1"/>
  <c r="AC217" i="4" s="1"/>
  <c r="AC222" i="4" s="1"/>
  <c r="AC227" i="4" s="1"/>
  <c r="AC232" i="4" s="1"/>
  <c r="AC237" i="4" s="1"/>
  <c r="AC242" i="4" s="1"/>
  <c r="AC247" i="4" s="1"/>
  <c r="AC252" i="4" s="1"/>
  <c r="AC257" i="4" s="1"/>
  <c r="AC262" i="4" s="1"/>
  <c r="AC267" i="4" s="1"/>
  <c r="AC272" i="4" s="1"/>
  <c r="AC277" i="4" s="1"/>
  <c r="AC282" i="4" s="1"/>
  <c r="AC287" i="4" s="1"/>
  <c r="AC292" i="4" s="1"/>
  <c r="AC297" i="4" s="1"/>
  <c r="AC302" i="4" s="1"/>
  <c r="AC307" i="4" s="1"/>
  <c r="AC312" i="4" s="1"/>
  <c r="AC317" i="4" s="1"/>
  <c r="AC322" i="4" s="1"/>
  <c r="AC327" i="4" s="1"/>
  <c r="AC332" i="4" s="1"/>
  <c r="AC337" i="4" s="1"/>
  <c r="AC342" i="4" s="1"/>
  <c r="AC347" i="4" s="1"/>
  <c r="AC352" i="4" s="1"/>
  <c r="AC357" i="4" s="1"/>
  <c r="AC362" i="4" s="1"/>
  <c r="AC367" i="4" s="1"/>
  <c r="AC372" i="4" s="1"/>
  <c r="AC377" i="4" s="1"/>
  <c r="AC382" i="4" s="1"/>
  <c r="AC387" i="4" s="1"/>
  <c r="AC392" i="4" s="1"/>
  <c r="AC397" i="4" s="1"/>
  <c r="AC402" i="4" s="1"/>
  <c r="AD4" i="4"/>
  <c r="AD9" i="4" s="1"/>
  <c r="AD14" i="4" s="1"/>
  <c r="AD19" i="4" s="1"/>
  <c r="AD24" i="4" s="1"/>
  <c r="AD29" i="4" s="1"/>
  <c r="AD34" i="4" s="1"/>
  <c r="AD39" i="4" s="1"/>
  <c r="AD44" i="4" s="1"/>
  <c r="AD49" i="4" s="1"/>
  <c r="AD54" i="4" s="1"/>
  <c r="AD59" i="4" s="1"/>
  <c r="AD64" i="4" s="1"/>
  <c r="AD69" i="4" s="1"/>
  <c r="AD74" i="4" s="1"/>
  <c r="AD79" i="4" s="1"/>
  <c r="AD84" i="4" s="1"/>
  <c r="AD89" i="4" s="1"/>
  <c r="AD94" i="4" s="1"/>
  <c r="AD99" i="4" s="1"/>
  <c r="AD104" i="4" s="1"/>
  <c r="AD109" i="4" s="1"/>
  <c r="AD114" i="4" s="1"/>
  <c r="AD119" i="4" s="1"/>
  <c r="AD124" i="4" s="1"/>
  <c r="AD129" i="4" s="1"/>
  <c r="AD134" i="4" s="1"/>
  <c r="AD139" i="4" s="1"/>
  <c r="AD144" i="4" s="1"/>
  <c r="AD149" i="4" s="1"/>
  <c r="AD154" i="4" s="1"/>
  <c r="AD159" i="4" s="1"/>
  <c r="AD164" i="4" s="1"/>
  <c r="AD169" i="4" s="1"/>
  <c r="AD174" i="4" s="1"/>
  <c r="AD179" i="4" s="1"/>
  <c r="AD184" i="4" s="1"/>
  <c r="AD189" i="4" s="1"/>
  <c r="AD194" i="4" s="1"/>
  <c r="AD199" i="4" s="1"/>
  <c r="AD204" i="4" s="1"/>
  <c r="AD209" i="4" s="1"/>
  <c r="AD214" i="4" s="1"/>
  <c r="AD219" i="4" s="1"/>
  <c r="AD224" i="4" s="1"/>
  <c r="AD229" i="4" s="1"/>
  <c r="AD234" i="4" s="1"/>
  <c r="AD239" i="4" s="1"/>
  <c r="AD244" i="4" s="1"/>
  <c r="AD249" i="4" s="1"/>
  <c r="AD254" i="4" s="1"/>
  <c r="AD259" i="4" s="1"/>
  <c r="AD264" i="4" s="1"/>
  <c r="AD269" i="4" s="1"/>
  <c r="AD274" i="4" s="1"/>
  <c r="AD279" i="4" s="1"/>
  <c r="AD284" i="4" s="1"/>
  <c r="AD289" i="4" s="1"/>
  <c r="AD294" i="4" s="1"/>
  <c r="AD299" i="4" s="1"/>
  <c r="AD304" i="4" s="1"/>
  <c r="AD309" i="4" s="1"/>
  <c r="AD314" i="4" s="1"/>
  <c r="AD319" i="4" s="1"/>
  <c r="AD324" i="4" s="1"/>
  <c r="AD329" i="4" s="1"/>
  <c r="AD334" i="4" s="1"/>
  <c r="AD339" i="4" s="1"/>
  <c r="AD344" i="4" s="1"/>
  <c r="AD349" i="4" s="1"/>
  <c r="AD354" i="4" s="1"/>
  <c r="AD359" i="4" s="1"/>
  <c r="AD364" i="4" s="1"/>
  <c r="AD369" i="4" s="1"/>
  <c r="AD374" i="4" s="1"/>
  <c r="AD379" i="4" s="1"/>
  <c r="AD384" i="4" s="1"/>
  <c r="AD389" i="4" s="1"/>
  <c r="AD394" i="4" s="1"/>
  <c r="AD399" i="4" s="1"/>
  <c r="AD404" i="4" s="1"/>
  <c r="AD2" i="4"/>
  <c r="AD7" i="4" s="1"/>
  <c r="AD12" i="4" s="1"/>
  <c r="AD17" i="4" s="1"/>
  <c r="AD22" i="4" s="1"/>
  <c r="AD27" i="4" s="1"/>
  <c r="AD32" i="4" s="1"/>
  <c r="AD37" i="4" s="1"/>
  <c r="AD42" i="4" s="1"/>
  <c r="AD47" i="4" s="1"/>
  <c r="AD52" i="4" s="1"/>
  <c r="AD57" i="4" s="1"/>
  <c r="AD62" i="4" s="1"/>
  <c r="AD67" i="4" s="1"/>
  <c r="AD72" i="4" s="1"/>
  <c r="AD77" i="4" s="1"/>
  <c r="AD82" i="4" s="1"/>
  <c r="AD87" i="4" s="1"/>
  <c r="AD92" i="4" s="1"/>
  <c r="AD97" i="4" s="1"/>
  <c r="AD102" i="4" s="1"/>
  <c r="AD107" i="4" s="1"/>
  <c r="AD112" i="4" s="1"/>
  <c r="AD117" i="4" s="1"/>
  <c r="AD122" i="4" s="1"/>
  <c r="AD127" i="4" s="1"/>
  <c r="AD132" i="4" s="1"/>
  <c r="AD137" i="4" s="1"/>
  <c r="AD142" i="4" s="1"/>
  <c r="AD147" i="4" s="1"/>
  <c r="AD152" i="4" s="1"/>
  <c r="AD157" i="4" s="1"/>
  <c r="AD162" i="4" s="1"/>
  <c r="AD167" i="4" s="1"/>
  <c r="AD172" i="4" s="1"/>
  <c r="AD177" i="4" s="1"/>
  <c r="AD182" i="4" s="1"/>
  <c r="AD187" i="4" s="1"/>
  <c r="AD192" i="4" s="1"/>
  <c r="AD197" i="4" s="1"/>
  <c r="AD202" i="4" s="1"/>
  <c r="AD207" i="4" s="1"/>
  <c r="AD212" i="4" s="1"/>
  <c r="AD217" i="4" s="1"/>
  <c r="AD222" i="4" s="1"/>
  <c r="AD227" i="4" s="1"/>
  <c r="AD232" i="4" s="1"/>
  <c r="AD237" i="4" s="1"/>
  <c r="AD242" i="4" s="1"/>
  <c r="AD247" i="4" s="1"/>
  <c r="AD252" i="4" s="1"/>
  <c r="AD257" i="4" s="1"/>
  <c r="AD262" i="4" s="1"/>
  <c r="AD267" i="4" s="1"/>
  <c r="AD272" i="4" s="1"/>
  <c r="AD277" i="4" s="1"/>
  <c r="AD282" i="4" s="1"/>
  <c r="AD287" i="4" s="1"/>
  <c r="AD292" i="4" s="1"/>
  <c r="AD297" i="4" s="1"/>
  <c r="AD302" i="4" s="1"/>
  <c r="AD307" i="4" s="1"/>
  <c r="AD312" i="4" s="1"/>
  <c r="AD317" i="4" s="1"/>
  <c r="AD322" i="4" s="1"/>
  <c r="AD327" i="4" s="1"/>
  <c r="AD332" i="4" s="1"/>
  <c r="AD337" i="4" s="1"/>
  <c r="AD342" i="4" s="1"/>
  <c r="AD347" i="4" s="1"/>
  <c r="AD352" i="4" s="1"/>
  <c r="AD357" i="4" s="1"/>
  <c r="AD362" i="4" s="1"/>
  <c r="AD367" i="4" s="1"/>
  <c r="AD372" i="4" s="1"/>
  <c r="AD377" i="4" s="1"/>
  <c r="AD382" i="4" s="1"/>
  <c r="AD387" i="4" s="1"/>
  <c r="AD392" i="4" s="1"/>
  <c r="AD397" i="4" s="1"/>
  <c r="AD402" i="4" s="1"/>
  <c r="AD8" i="4"/>
  <c r="AD13" i="4" s="1"/>
  <c r="AD18" i="4" s="1"/>
  <c r="AD23" i="4" s="1"/>
  <c r="AD28" i="4" s="1"/>
  <c r="AD33" i="4" s="1"/>
  <c r="AD38" i="4" s="1"/>
  <c r="AD43" i="4" s="1"/>
  <c r="AD48" i="4" s="1"/>
  <c r="AD53" i="4" s="1"/>
  <c r="AD58" i="4" s="1"/>
  <c r="AD63" i="4" s="1"/>
  <c r="AD68" i="4" s="1"/>
  <c r="AD73" i="4" s="1"/>
  <c r="AD78" i="4" s="1"/>
  <c r="AD83" i="4" s="1"/>
  <c r="AD88" i="4" s="1"/>
  <c r="AD93" i="4" s="1"/>
  <c r="AD98" i="4" s="1"/>
  <c r="AD103" i="4" s="1"/>
  <c r="AD108" i="4" s="1"/>
  <c r="AD113" i="4" s="1"/>
  <c r="AD118" i="4" s="1"/>
  <c r="AD123" i="4" s="1"/>
  <c r="AD128" i="4" s="1"/>
  <c r="AD133" i="4" s="1"/>
  <c r="AD138" i="4" s="1"/>
  <c r="AD143" i="4" s="1"/>
  <c r="AD148" i="4" s="1"/>
  <c r="AD153" i="4" s="1"/>
  <c r="AD158" i="4" s="1"/>
  <c r="AD163" i="4" s="1"/>
  <c r="AD168" i="4" s="1"/>
  <c r="AD173" i="4" s="1"/>
  <c r="AD178" i="4" s="1"/>
  <c r="AD183" i="4" s="1"/>
  <c r="AD188" i="4" s="1"/>
  <c r="AD193" i="4" s="1"/>
  <c r="AD198" i="4" s="1"/>
  <c r="AD203" i="4" s="1"/>
  <c r="AD208" i="4" s="1"/>
  <c r="AD213" i="4" s="1"/>
  <c r="AD218" i="4" s="1"/>
  <c r="AD223" i="4" s="1"/>
  <c r="AD228" i="4" s="1"/>
  <c r="AD233" i="4" s="1"/>
  <c r="AD238" i="4" s="1"/>
  <c r="AD243" i="4" s="1"/>
  <c r="AD248" i="4" s="1"/>
  <c r="AD253" i="4" s="1"/>
  <c r="AD258" i="4" s="1"/>
  <c r="AD263" i="4" s="1"/>
  <c r="AD268" i="4" s="1"/>
  <c r="AD273" i="4" s="1"/>
  <c r="AD278" i="4" s="1"/>
  <c r="AD283" i="4" s="1"/>
  <c r="AD288" i="4" s="1"/>
  <c r="AD293" i="4" s="1"/>
  <c r="AD298" i="4" s="1"/>
  <c r="AD303" i="4" s="1"/>
  <c r="AD308" i="4" s="1"/>
  <c r="AD313" i="4" s="1"/>
  <c r="AD318" i="4" s="1"/>
  <c r="AD323" i="4" s="1"/>
  <c r="AD328" i="4" s="1"/>
  <c r="AD333" i="4" s="1"/>
  <c r="AD338" i="4" s="1"/>
  <c r="AD343" i="4" s="1"/>
  <c r="AD348" i="4" s="1"/>
  <c r="AD353" i="4" s="1"/>
  <c r="AD358" i="4" s="1"/>
  <c r="AD363" i="4" s="1"/>
  <c r="AD368" i="4" s="1"/>
  <c r="AD373" i="4" s="1"/>
  <c r="AD378" i="4" s="1"/>
  <c r="AD383" i="4" s="1"/>
  <c r="AD388" i="4" s="1"/>
  <c r="AD393" i="4" s="1"/>
  <c r="AD398" i="4" s="1"/>
  <c r="AD403" i="4" s="1"/>
  <c r="AD5" i="4"/>
  <c r="AD10" i="4" s="1"/>
  <c r="AD15" i="4" s="1"/>
  <c r="AD20" i="4" s="1"/>
  <c r="AD25" i="4" s="1"/>
  <c r="AD30" i="4" s="1"/>
  <c r="AD35" i="4" s="1"/>
  <c r="AD40" i="4" s="1"/>
  <c r="AD45" i="4" s="1"/>
  <c r="AD50" i="4" s="1"/>
  <c r="AD55" i="4" s="1"/>
  <c r="AD60" i="4" s="1"/>
  <c r="AD65" i="4" s="1"/>
  <c r="AD70" i="4" s="1"/>
  <c r="AD75" i="4" s="1"/>
  <c r="AD80" i="4" s="1"/>
  <c r="AD85" i="4" s="1"/>
  <c r="AD90" i="4" s="1"/>
  <c r="AD95" i="4" s="1"/>
  <c r="AD100" i="4" s="1"/>
  <c r="AD105" i="4" s="1"/>
  <c r="AD110" i="4" s="1"/>
  <c r="AD115" i="4" s="1"/>
  <c r="AD120" i="4" s="1"/>
  <c r="AD125" i="4" s="1"/>
  <c r="AD130" i="4" s="1"/>
  <c r="AD135" i="4" s="1"/>
  <c r="AD140" i="4" s="1"/>
  <c r="AD145" i="4" s="1"/>
  <c r="AD150" i="4" s="1"/>
  <c r="AD155" i="4" s="1"/>
  <c r="AD160" i="4" s="1"/>
  <c r="AD165" i="4" s="1"/>
  <c r="AD170" i="4" s="1"/>
  <c r="AD175" i="4" s="1"/>
  <c r="AD180" i="4" s="1"/>
  <c r="AD185" i="4" s="1"/>
  <c r="AD190" i="4" s="1"/>
  <c r="AD195" i="4" s="1"/>
  <c r="AD200" i="4" s="1"/>
  <c r="AD205" i="4" s="1"/>
  <c r="AD210" i="4" s="1"/>
  <c r="AD215" i="4" s="1"/>
  <c r="AD220" i="4" s="1"/>
  <c r="AD225" i="4" s="1"/>
  <c r="AD230" i="4" s="1"/>
  <c r="AD235" i="4" s="1"/>
  <c r="AD240" i="4" s="1"/>
  <c r="AD245" i="4" s="1"/>
  <c r="AD250" i="4" s="1"/>
  <c r="AD255" i="4" s="1"/>
  <c r="AD260" i="4" s="1"/>
  <c r="AD265" i="4" s="1"/>
  <c r="AD270" i="4" s="1"/>
  <c r="AD275" i="4" s="1"/>
  <c r="AD280" i="4" s="1"/>
  <c r="AD285" i="4" s="1"/>
  <c r="AD290" i="4" s="1"/>
  <c r="AD295" i="4" s="1"/>
  <c r="AD300" i="4" s="1"/>
  <c r="AD305" i="4" s="1"/>
  <c r="AD310" i="4" s="1"/>
  <c r="AD315" i="4" s="1"/>
  <c r="AD320" i="4" s="1"/>
  <c r="AD325" i="4" s="1"/>
  <c r="AD330" i="4" s="1"/>
  <c r="AD335" i="4" s="1"/>
  <c r="AD340" i="4" s="1"/>
  <c r="AD345" i="4" s="1"/>
  <c r="AD350" i="4" s="1"/>
  <c r="AD355" i="4" s="1"/>
  <c r="AD360" i="4" s="1"/>
  <c r="AD365" i="4" s="1"/>
  <c r="AD370" i="4" s="1"/>
  <c r="AD375" i="4" s="1"/>
  <c r="AD380" i="4" s="1"/>
  <c r="AD385" i="4" s="1"/>
  <c r="AD390" i="4" s="1"/>
  <c r="AD395" i="4" s="1"/>
  <c r="AD400" i="4" s="1"/>
  <c r="AD405" i="4" s="1"/>
  <c r="H5" i="2"/>
  <c r="J5" i="2" s="1"/>
  <c r="K5" i="2"/>
  <c r="R3" i="2"/>
  <c r="R9" i="4"/>
  <c r="R7" i="4" s="1"/>
  <c r="Q15" i="4" s="1"/>
  <c r="Q16" i="4" s="1"/>
  <c r="Q17" i="4" s="1"/>
  <c r="Q18" i="4" s="1"/>
  <c r="Q19" i="4" s="1"/>
  <c r="Q20" i="4" s="1"/>
  <c r="Q21" i="4" s="1"/>
  <c r="Q22" i="4" s="1"/>
  <c r="Q23" i="4" s="1"/>
  <c r="Q24" i="4" s="1"/>
  <c r="Q25" i="4" s="1"/>
  <c r="Q26" i="4" s="1"/>
  <c r="Q27" i="4" s="1"/>
  <c r="Q28" i="4" s="1"/>
  <c r="Q29" i="4" s="1"/>
  <c r="Q30" i="4" s="1"/>
  <c r="Q31" i="4" s="1"/>
  <c r="Q32" i="4" s="1"/>
  <c r="Q33" i="4" s="1"/>
  <c r="Q34" i="4" s="1"/>
  <c r="S34" i="4" s="1"/>
  <c r="Q5" i="2"/>
  <c r="P4" i="2"/>
  <c r="Q6" i="2"/>
  <c r="Q4" i="2"/>
  <c r="P6" i="2"/>
  <c r="P5" i="2"/>
  <c r="A8" i="2"/>
  <c r="E7" i="2"/>
  <c r="B7" i="2"/>
  <c r="P7" i="2" s="1"/>
  <c r="F7" i="2"/>
  <c r="N7" i="2" s="1"/>
  <c r="G7" i="2"/>
  <c r="O7" i="2" s="1"/>
  <c r="C7" i="2"/>
  <c r="Q7" i="2" s="1"/>
  <c r="D7" i="2"/>
  <c r="L6" i="2"/>
  <c r="K6" i="2"/>
  <c r="I6" i="2"/>
  <c r="H6" i="2"/>
  <c r="M5" i="2"/>
  <c r="R4" i="2" l="1"/>
  <c r="S3" i="2" s="1"/>
  <c r="T3" i="2" s="1"/>
  <c r="R5" i="2"/>
  <c r="S15" i="4"/>
  <c r="S30" i="4"/>
  <c r="S19" i="4"/>
  <c r="S33" i="4"/>
  <c r="S32" i="4"/>
  <c r="S26" i="4"/>
  <c r="S18" i="4"/>
  <c r="S29" i="4"/>
  <c r="S28" i="4"/>
  <c r="S31" i="4"/>
  <c r="S22" i="4"/>
  <c r="S17" i="4"/>
  <c r="S25" i="4"/>
  <c r="S24" i="4"/>
  <c r="S27" i="4"/>
  <c r="R10" i="4"/>
  <c r="R11" i="4" s="1"/>
  <c r="Q40" i="4" s="1"/>
  <c r="S16" i="4"/>
  <c r="S21" i="4"/>
  <c r="S20" i="4"/>
  <c r="S23" i="4"/>
  <c r="K7" i="2"/>
  <c r="L7" i="2"/>
  <c r="I7" i="2"/>
  <c r="H7" i="2"/>
  <c r="J6" i="2"/>
  <c r="A9" i="2"/>
  <c r="E8" i="2"/>
  <c r="F8" i="2"/>
  <c r="N8" i="2" s="1"/>
  <c r="B8" i="2"/>
  <c r="P8" i="2" s="1"/>
  <c r="G8" i="2"/>
  <c r="O8" i="2" s="1"/>
  <c r="C8" i="2"/>
  <c r="Q8" i="2" s="1"/>
  <c r="D8" i="2"/>
  <c r="M6" i="2"/>
  <c r="Z206" i="4" l="1"/>
  <c r="Q37" i="4"/>
  <c r="W195" i="4" s="1"/>
  <c r="R15" i="4"/>
  <c r="Q38" i="4"/>
  <c r="W208" i="4" s="1"/>
  <c r="R6" i="2"/>
  <c r="S4" i="2"/>
  <c r="T4" i="2" s="1"/>
  <c r="R16" i="4"/>
  <c r="R21" i="4"/>
  <c r="R34" i="4"/>
  <c r="R23" i="4"/>
  <c r="R33" i="4"/>
  <c r="R24" i="4"/>
  <c r="R28" i="4"/>
  <c r="R17" i="4"/>
  <c r="R18" i="4"/>
  <c r="R19" i="4"/>
  <c r="R14" i="4"/>
  <c r="R22" i="4"/>
  <c r="R25" i="4"/>
  <c r="R27" i="4"/>
  <c r="R29" i="4"/>
  <c r="R31" i="4"/>
  <c r="Z198" i="4"/>
  <c r="Z190" i="4"/>
  <c r="Z166" i="4"/>
  <c r="Z158" i="4"/>
  <c r="Z134" i="4"/>
  <c r="Z126" i="4"/>
  <c r="Z102" i="4"/>
  <c r="Z94" i="4"/>
  <c r="Z70" i="4"/>
  <c r="Z62" i="4"/>
  <c r="W194" i="4"/>
  <c r="W186" i="4"/>
  <c r="W162" i="4"/>
  <c r="W154" i="4"/>
  <c r="W130" i="4"/>
  <c r="W122" i="4"/>
  <c r="W98" i="4"/>
  <c r="W90" i="4"/>
  <c r="W66" i="4"/>
  <c r="W58" i="4"/>
  <c r="Z194" i="4"/>
  <c r="Z186" i="4"/>
  <c r="Z162" i="4"/>
  <c r="Z154" i="4"/>
  <c r="Z130" i="4"/>
  <c r="Z122" i="4"/>
  <c r="Z98" i="4"/>
  <c r="Z90" i="4"/>
  <c r="Z66" i="4"/>
  <c r="Z58" i="4"/>
  <c r="W198" i="4"/>
  <c r="W190" i="4"/>
  <c r="W166" i="4"/>
  <c r="W158" i="4"/>
  <c r="W134" i="4"/>
  <c r="W126" i="4"/>
  <c r="W102" i="4"/>
  <c r="W94" i="4"/>
  <c r="W70" i="4"/>
  <c r="W62" i="4"/>
  <c r="R32" i="4"/>
  <c r="R20" i="4"/>
  <c r="R26" i="4"/>
  <c r="R30" i="4"/>
  <c r="M7" i="2"/>
  <c r="A10" i="2"/>
  <c r="E9" i="2"/>
  <c r="F9" i="2"/>
  <c r="N9" i="2" s="1"/>
  <c r="B9" i="2"/>
  <c r="P9" i="2" s="1"/>
  <c r="G9" i="2"/>
  <c r="O9" i="2" s="1"/>
  <c r="C9" i="2"/>
  <c r="Q9" i="2" s="1"/>
  <c r="D9" i="2"/>
  <c r="J7" i="2"/>
  <c r="K8" i="2"/>
  <c r="L8" i="2"/>
  <c r="H8" i="2"/>
  <c r="I8" i="2"/>
  <c r="W204" i="4" l="1"/>
  <c r="W128" i="4"/>
  <c r="X103" i="4"/>
  <c r="W172" i="4"/>
  <c r="W112" i="4"/>
  <c r="X204" i="4"/>
  <c r="W108" i="4"/>
  <c r="Y208" i="4"/>
  <c r="X76" i="4"/>
  <c r="W92" i="4"/>
  <c r="X176" i="4"/>
  <c r="W192" i="4"/>
  <c r="W131" i="4"/>
  <c r="W55" i="4"/>
  <c r="W199" i="4"/>
  <c r="X147" i="4"/>
  <c r="X67" i="4"/>
  <c r="X179" i="4"/>
  <c r="W87" i="4"/>
  <c r="X163" i="4"/>
  <c r="W71" i="4"/>
  <c r="W115" i="4"/>
  <c r="W183" i="4"/>
  <c r="X87" i="4"/>
  <c r="W163" i="4"/>
  <c r="X135" i="4"/>
  <c r="X195" i="4"/>
  <c r="W103" i="4"/>
  <c r="W147" i="4"/>
  <c r="X51" i="4"/>
  <c r="X119" i="4"/>
  <c r="W155" i="4"/>
  <c r="W76" i="4"/>
  <c r="W156" i="4"/>
  <c r="X112" i="4"/>
  <c r="W96" i="4"/>
  <c r="W176" i="4"/>
  <c r="X140" i="4"/>
  <c r="W140" i="4"/>
  <c r="X80" i="4"/>
  <c r="W64" i="4"/>
  <c r="W160" i="4"/>
  <c r="X108" i="4"/>
  <c r="W67" i="4"/>
  <c r="X99" i="4"/>
  <c r="W135" i="4"/>
  <c r="X167" i="4"/>
  <c r="W179" i="4"/>
  <c r="W51" i="4"/>
  <c r="X83" i="4"/>
  <c r="W119" i="4"/>
  <c r="X151" i="4"/>
  <c r="W60" i="4"/>
  <c r="W124" i="4"/>
  <c r="W188" i="4"/>
  <c r="X144" i="4"/>
  <c r="W80" i="4"/>
  <c r="W144" i="4"/>
  <c r="X208" i="4"/>
  <c r="X172" i="4"/>
  <c r="W99" i="4"/>
  <c r="X131" i="4"/>
  <c r="W167" i="4"/>
  <c r="X199" i="4"/>
  <c r="X71" i="4"/>
  <c r="W83" i="4"/>
  <c r="X115" i="4"/>
  <c r="W151" i="4"/>
  <c r="X183" i="4"/>
  <c r="X55" i="4"/>
  <c r="R7" i="2"/>
  <c r="W143" i="4"/>
  <c r="X59" i="4"/>
  <c r="W59" i="4"/>
  <c r="W111" i="4"/>
  <c r="W171" i="4"/>
  <c r="W187" i="4"/>
  <c r="W75" i="4"/>
  <c r="X171" i="4"/>
  <c r="W63" i="4"/>
  <c r="X187" i="4"/>
  <c r="X91" i="4"/>
  <c r="X175" i="4"/>
  <c r="X191" i="4"/>
  <c r="W95" i="4"/>
  <c r="X143" i="4"/>
  <c r="W107" i="4"/>
  <c r="X127" i="4"/>
  <c r="W91" i="4"/>
  <c r="W159" i="4"/>
  <c r="X155" i="4"/>
  <c r="W203" i="4"/>
  <c r="W79" i="4"/>
  <c r="W139" i="4"/>
  <c r="X207" i="4"/>
  <c r="W175" i="4"/>
  <c r="X95" i="4"/>
  <c r="X203" i="4"/>
  <c r="X123" i="4"/>
  <c r="W123" i="4"/>
  <c r="W191" i="4"/>
  <c r="X107" i="4"/>
  <c r="X111" i="4"/>
  <c r="W207" i="4"/>
  <c r="X79" i="4"/>
  <c r="X63" i="4"/>
  <c r="X75" i="4"/>
  <c r="X139" i="4"/>
  <c r="X159" i="4"/>
  <c r="W127" i="4"/>
  <c r="Y72" i="4"/>
  <c r="Y88" i="4"/>
  <c r="Y104" i="4"/>
  <c r="Y120" i="4"/>
  <c r="Y136" i="4"/>
  <c r="Y152" i="4"/>
  <c r="Y168" i="4"/>
  <c r="Y184" i="4"/>
  <c r="Y200" i="4"/>
  <c r="X72" i="4"/>
  <c r="X104" i="4"/>
  <c r="X136" i="4"/>
  <c r="X168" i="4"/>
  <c r="X200" i="4"/>
  <c r="Y60" i="4"/>
  <c r="Y76" i="4"/>
  <c r="Y92" i="4"/>
  <c r="Y108" i="4"/>
  <c r="Y124" i="4"/>
  <c r="Y140" i="4"/>
  <c r="Y156" i="4"/>
  <c r="Y172" i="4"/>
  <c r="Y188" i="4"/>
  <c r="Y204" i="4"/>
  <c r="X68" i="4"/>
  <c r="X100" i="4"/>
  <c r="X132" i="4"/>
  <c r="X164" i="4"/>
  <c r="X196" i="4"/>
  <c r="W54" i="4"/>
  <c r="W86" i="4"/>
  <c r="W118" i="4"/>
  <c r="W150" i="4"/>
  <c r="W182" i="4"/>
  <c r="Z210" i="4"/>
  <c r="Z82" i="4"/>
  <c r="Z114" i="4"/>
  <c r="Z146" i="4"/>
  <c r="Z178" i="4"/>
  <c r="W210" i="4"/>
  <c r="W82" i="4"/>
  <c r="W114" i="4"/>
  <c r="W146" i="4"/>
  <c r="W178" i="4"/>
  <c r="Z54" i="4"/>
  <c r="Z86" i="4"/>
  <c r="Z118" i="4"/>
  <c r="Z150" i="4"/>
  <c r="Z182" i="4"/>
  <c r="W52" i="4"/>
  <c r="W68" i="4"/>
  <c r="W84" i="4"/>
  <c r="W100" i="4"/>
  <c r="W116" i="4"/>
  <c r="W132" i="4"/>
  <c r="W148" i="4"/>
  <c r="W164" i="4"/>
  <c r="W180" i="4"/>
  <c r="W196" i="4"/>
  <c r="X64" i="4"/>
  <c r="X96" i="4"/>
  <c r="X128" i="4"/>
  <c r="X160" i="4"/>
  <c r="X192" i="4"/>
  <c r="W56" i="4"/>
  <c r="W72" i="4"/>
  <c r="W88" i="4"/>
  <c r="W104" i="4"/>
  <c r="W120" i="4"/>
  <c r="W136" i="4"/>
  <c r="W152" i="4"/>
  <c r="W168" i="4"/>
  <c r="W184" i="4"/>
  <c r="W200" i="4"/>
  <c r="X60" i="4"/>
  <c r="X92" i="4"/>
  <c r="X124" i="4"/>
  <c r="X156" i="4"/>
  <c r="X188" i="4"/>
  <c r="Y56" i="4"/>
  <c r="W78" i="4"/>
  <c r="W110" i="4"/>
  <c r="W142" i="4"/>
  <c r="W174" i="4"/>
  <c r="W206" i="4"/>
  <c r="Z74" i="4"/>
  <c r="Z106" i="4"/>
  <c r="Z138" i="4"/>
  <c r="Z170" i="4"/>
  <c r="Z202" i="4"/>
  <c r="W74" i="4"/>
  <c r="W106" i="4"/>
  <c r="W138" i="4"/>
  <c r="W170" i="4"/>
  <c r="W202" i="4"/>
  <c r="Z78" i="4"/>
  <c r="Z110" i="4"/>
  <c r="Z142" i="4"/>
  <c r="Z174" i="4"/>
  <c r="Y64" i="4"/>
  <c r="Y80" i="4"/>
  <c r="Y96" i="4"/>
  <c r="Y112" i="4"/>
  <c r="Y128" i="4"/>
  <c r="Y144" i="4"/>
  <c r="Y160" i="4"/>
  <c r="Y176" i="4"/>
  <c r="Y192" i="4"/>
  <c r="X56" i="4"/>
  <c r="X88" i="4"/>
  <c r="X120" i="4"/>
  <c r="X152" i="4"/>
  <c r="X184" i="4"/>
  <c r="Y52" i="4"/>
  <c r="Y68" i="4"/>
  <c r="Y84" i="4"/>
  <c r="Y100" i="4"/>
  <c r="Y116" i="4"/>
  <c r="Y132" i="4"/>
  <c r="Y148" i="4"/>
  <c r="Y164" i="4"/>
  <c r="Y180" i="4"/>
  <c r="Y196" i="4"/>
  <c r="X52" i="4"/>
  <c r="X84" i="4"/>
  <c r="X116" i="4"/>
  <c r="X148" i="4"/>
  <c r="X180" i="4"/>
  <c r="J8" i="2"/>
  <c r="M8" i="2"/>
  <c r="I9" i="2"/>
  <c r="H9" i="2"/>
  <c r="S5" i="2"/>
  <c r="T5" i="2" s="1"/>
  <c r="A11" i="2"/>
  <c r="E10" i="2"/>
  <c r="B10" i="2"/>
  <c r="P10" i="2" s="1"/>
  <c r="F10" i="2"/>
  <c r="N10" i="2" s="1"/>
  <c r="G10" i="2"/>
  <c r="O10" i="2" s="1"/>
  <c r="C10" i="2"/>
  <c r="Q10" i="2" s="1"/>
  <c r="D10" i="2"/>
  <c r="K9" i="2"/>
  <c r="L9" i="2"/>
  <c r="R8" i="2" l="1"/>
  <c r="S6" i="2"/>
  <c r="T6" i="2" s="1"/>
  <c r="D11" i="2"/>
  <c r="A12" i="2"/>
  <c r="E11" i="2"/>
  <c r="B11" i="2"/>
  <c r="P11" i="2" s="1"/>
  <c r="F11" i="2"/>
  <c r="N11" i="2" s="1"/>
  <c r="G11" i="2"/>
  <c r="O11" i="2" s="1"/>
  <c r="C11" i="2"/>
  <c r="Q11" i="2" s="1"/>
  <c r="M9" i="2"/>
  <c r="J9" i="2"/>
  <c r="K10" i="2"/>
  <c r="L10" i="2"/>
  <c r="H10" i="2"/>
  <c r="I10" i="2"/>
  <c r="R9" i="2" l="1"/>
  <c r="S7" i="2"/>
  <c r="T7" i="2" s="1"/>
  <c r="M10" i="2"/>
  <c r="J10" i="2"/>
  <c r="H11" i="2"/>
  <c r="I11" i="2"/>
  <c r="D12" i="2"/>
  <c r="A13" i="2"/>
  <c r="E12" i="2"/>
  <c r="F12" i="2"/>
  <c r="N12" i="2" s="1"/>
  <c r="B12" i="2"/>
  <c r="P12" i="2" s="1"/>
  <c r="G12" i="2"/>
  <c r="O12" i="2" s="1"/>
  <c r="C12" i="2"/>
  <c r="Q12" i="2" s="1"/>
  <c r="L11" i="2"/>
  <c r="K11" i="2"/>
  <c r="R10" i="2" l="1"/>
  <c r="S9" i="2" s="1"/>
  <c r="M11" i="2"/>
  <c r="J11" i="2"/>
  <c r="S8" i="2"/>
  <c r="T8" i="2" s="1"/>
  <c r="L12" i="2"/>
  <c r="K12" i="2"/>
  <c r="H12" i="2"/>
  <c r="I12" i="2"/>
  <c r="A14" i="2"/>
  <c r="E13" i="2"/>
  <c r="B13" i="2"/>
  <c r="P13" i="2" s="1"/>
  <c r="F13" i="2"/>
  <c r="N13" i="2" s="1"/>
  <c r="G13" i="2"/>
  <c r="O13" i="2" s="1"/>
  <c r="C13" i="2"/>
  <c r="Q13" i="2" s="1"/>
  <c r="D13" i="2"/>
  <c r="R11" i="2" l="1"/>
  <c r="T9" i="2"/>
  <c r="D14" i="2"/>
  <c r="A15" i="2"/>
  <c r="E14" i="2"/>
  <c r="F14" i="2"/>
  <c r="N14" i="2" s="1"/>
  <c r="B14" i="2"/>
  <c r="P14" i="2" s="1"/>
  <c r="G14" i="2"/>
  <c r="O14" i="2" s="1"/>
  <c r="C14" i="2"/>
  <c r="Q14" i="2" s="1"/>
  <c r="L13" i="2"/>
  <c r="K13" i="2"/>
  <c r="J12" i="2"/>
  <c r="M12" i="2"/>
  <c r="H13" i="2"/>
  <c r="I13" i="2"/>
  <c r="S10" i="2" l="1"/>
  <c r="T10" i="2" s="1"/>
  <c r="R12" i="2"/>
  <c r="M13" i="2"/>
  <c r="H14" i="2"/>
  <c r="I14" i="2"/>
  <c r="J13" i="2"/>
  <c r="D15" i="2"/>
  <c r="E15" i="2"/>
  <c r="A16" i="2"/>
  <c r="F15" i="2"/>
  <c r="N15" i="2" s="1"/>
  <c r="B15" i="2"/>
  <c r="P15" i="2" s="1"/>
  <c r="G15" i="2"/>
  <c r="O15" i="2" s="1"/>
  <c r="C15" i="2"/>
  <c r="Q15" i="2" s="1"/>
  <c r="L14" i="2"/>
  <c r="K14" i="2"/>
  <c r="R13" i="2" l="1"/>
  <c r="S11" i="2"/>
  <c r="T11" i="2" s="1"/>
  <c r="M14" i="2"/>
  <c r="H15" i="2"/>
  <c r="I15" i="2"/>
  <c r="J14" i="2"/>
  <c r="G16" i="2"/>
  <c r="O16" i="2" s="1"/>
  <c r="C16" i="2"/>
  <c r="Q16" i="2" s="1"/>
  <c r="D16" i="2"/>
  <c r="E16" i="2"/>
  <c r="A17" i="2"/>
  <c r="F16" i="2"/>
  <c r="N16" i="2" s="1"/>
  <c r="B16" i="2"/>
  <c r="P16" i="2" s="1"/>
  <c r="L15" i="2"/>
  <c r="K15" i="2"/>
  <c r="S12" i="2" l="1"/>
  <c r="T12" i="2" s="1"/>
  <c r="R14" i="2"/>
  <c r="M15" i="2"/>
  <c r="J15" i="2"/>
  <c r="A18" i="2"/>
  <c r="F17" i="2"/>
  <c r="N17" i="2" s="1"/>
  <c r="B17" i="2"/>
  <c r="P17" i="2" s="1"/>
  <c r="G17" i="2"/>
  <c r="O17" i="2" s="1"/>
  <c r="C17" i="2"/>
  <c r="Q17" i="2" s="1"/>
  <c r="D17" i="2"/>
  <c r="E17" i="2"/>
  <c r="K16" i="2"/>
  <c r="L16" i="2"/>
  <c r="H16" i="2"/>
  <c r="I16" i="2"/>
  <c r="R15" i="2" l="1"/>
  <c r="S14" i="2" s="1"/>
  <c r="S13" i="2"/>
  <c r="T13" i="2" s="1"/>
  <c r="M16" i="2"/>
  <c r="J16" i="2"/>
  <c r="E18" i="2"/>
  <c r="A19" i="2"/>
  <c r="F18" i="2"/>
  <c r="N18" i="2" s="1"/>
  <c r="B18" i="2"/>
  <c r="P18" i="2" s="1"/>
  <c r="G18" i="2"/>
  <c r="O18" i="2" s="1"/>
  <c r="C18" i="2"/>
  <c r="Q18" i="2" s="1"/>
  <c r="D18" i="2"/>
  <c r="H17" i="2"/>
  <c r="I17" i="2"/>
  <c r="K17" i="2"/>
  <c r="L17" i="2"/>
  <c r="T14" i="2" l="1"/>
  <c r="R16" i="2"/>
  <c r="T15" i="2" s="1"/>
  <c r="J17" i="2"/>
  <c r="K18" i="2"/>
  <c r="L18" i="2"/>
  <c r="D19" i="2"/>
  <c r="E19" i="2"/>
  <c r="A20" i="2"/>
  <c r="F19" i="2"/>
  <c r="N19" i="2" s="1"/>
  <c r="B19" i="2"/>
  <c r="P19" i="2" s="1"/>
  <c r="G19" i="2"/>
  <c r="O19" i="2" s="1"/>
  <c r="C19" i="2"/>
  <c r="Q19" i="2" s="1"/>
  <c r="M17" i="2"/>
  <c r="I18" i="2"/>
  <c r="H18" i="2"/>
  <c r="R17" i="2" l="1"/>
  <c r="S15" i="2"/>
  <c r="J18" i="2"/>
  <c r="G20" i="2"/>
  <c r="O20" i="2" s="1"/>
  <c r="C20" i="2"/>
  <c r="Q20" i="2" s="1"/>
  <c r="D20" i="2"/>
  <c r="E20" i="2"/>
  <c r="A21" i="2"/>
  <c r="F20" i="2"/>
  <c r="N20" i="2" s="1"/>
  <c r="B20" i="2"/>
  <c r="P20" i="2" s="1"/>
  <c r="M18" i="2"/>
  <c r="H19" i="2"/>
  <c r="I19" i="2"/>
  <c r="L19" i="2"/>
  <c r="K19" i="2"/>
  <c r="R18" i="2" l="1"/>
  <c r="S17" i="2" s="1"/>
  <c r="S16" i="2"/>
  <c r="T16" i="2" s="1"/>
  <c r="J19" i="2"/>
  <c r="H20" i="2"/>
  <c r="I20" i="2"/>
  <c r="M19" i="2"/>
  <c r="K20" i="2"/>
  <c r="L20" i="2"/>
  <c r="A22" i="2"/>
  <c r="F21" i="2"/>
  <c r="N21" i="2" s="1"/>
  <c r="B21" i="2"/>
  <c r="P21" i="2" s="1"/>
  <c r="G21" i="2"/>
  <c r="O21" i="2" s="1"/>
  <c r="C21" i="2"/>
  <c r="Q21" i="2" s="1"/>
  <c r="D21" i="2"/>
  <c r="E21" i="2"/>
  <c r="R19" i="2" l="1"/>
  <c r="T18" i="2" s="1"/>
  <c r="T17" i="2"/>
  <c r="J20" i="2"/>
  <c r="E22" i="2"/>
  <c r="A23" i="2"/>
  <c r="F22" i="2"/>
  <c r="N22" i="2" s="1"/>
  <c r="B22" i="2"/>
  <c r="P22" i="2" s="1"/>
  <c r="G22" i="2"/>
  <c r="O22" i="2" s="1"/>
  <c r="C22" i="2"/>
  <c r="Q22" i="2" s="1"/>
  <c r="D22" i="2"/>
  <c r="H21" i="2"/>
  <c r="I21" i="2"/>
  <c r="K21" i="2"/>
  <c r="L21" i="2"/>
  <c r="M20" i="2"/>
  <c r="R20" i="2" l="1"/>
  <c r="S19" i="2" s="1"/>
  <c r="S18" i="2"/>
  <c r="J21" i="2"/>
  <c r="M21" i="2"/>
  <c r="K22" i="2"/>
  <c r="L22" i="2"/>
  <c r="D23" i="2"/>
  <c r="E23" i="2"/>
  <c r="A24" i="2"/>
  <c r="F23" i="2"/>
  <c r="N23" i="2" s="1"/>
  <c r="B23" i="2"/>
  <c r="P23" i="2" s="1"/>
  <c r="G23" i="2"/>
  <c r="O23" i="2" s="1"/>
  <c r="C23" i="2"/>
  <c r="Q23" i="2" s="1"/>
  <c r="I22" i="2"/>
  <c r="H22" i="2"/>
  <c r="R21" i="2" l="1"/>
  <c r="T20" i="2" s="1"/>
  <c r="T19" i="2"/>
  <c r="L23" i="2"/>
  <c r="K23" i="2"/>
  <c r="M22" i="2"/>
  <c r="G24" i="2"/>
  <c r="O24" i="2" s="1"/>
  <c r="C24" i="2"/>
  <c r="Q24" i="2" s="1"/>
  <c r="D24" i="2"/>
  <c r="E24" i="2"/>
  <c r="A25" i="2"/>
  <c r="F24" i="2"/>
  <c r="N24" i="2" s="1"/>
  <c r="B24" i="2"/>
  <c r="P24" i="2" s="1"/>
  <c r="H23" i="2"/>
  <c r="I23" i="2"/>
  <c r="J22" i="2"/>
  <c r="R22" i="2" l="1"/>
  <c r="S21" i="2" s="1"/>
  <c r="S20" i="2"/>
  <c r="M23" i="2"/>
  <c r="A26" i="2"/>
  <c r="F25" i="2"/>
  <c r="N25" i="2" s="1"/>
  <c r="B25" i="2"/>
  <c r="P25" i="2" s="1"/>
  <c r="G25" i="2"/>
  <c r="O25" i="2" s="1"/>
  <c r="C25" i="2"/>
  <c r="Q25" i="2" s="1"/>
  <c r="D25" i="2"/>
  <c r="E25" i="2"/>
  <c r="K24" i="2"/>
  <c r="L24" i="2"/>
  <c r="H24" i="2"/>
  <c r="I24" i="2"/>
  <c r="J23" i="2"/>
  <c r="R23" i="2" l="1"/>
  <c r="T22" i="2" s="1"/>
  <c r="T21" i="2"/>
  <c r="M24" i="2"/>
  <c r="K25" i="2"/>
  <c r="L25" i="2"/>
  <c r="E26" i="2"/>
  <c r="A27" i="2"/>
  <c r="F26" i="2"/>
  <c r="N26" i="2" s="1"/>
  <c r="B26" i="2"/>
  <c r="P26" i="2" s="1"/>
  <c r="G26" i="2"/>
  <c r="O26" i="2" s="1"/>
  <c r="C26" i="2"/>
  <c r="Q26" i="2" s="1"/>
  <c r="D26" i="2"/>
  <c r="J24" i="2"/>
  <c r="H25" i="2"/>
  <c r="I25" i="2"/>
  <c r="R24" i="2" l="1"/>
  <c r="T23" i="2" s="1"/>
  <c r="S22" i="2"/>
  <c r="M25" i="2"/>
  <c r="I26" i="2"/>
  <c r="H26" i="2"/>
  <c r="K26" i="2"/>
  <c r="L26" i="2"/>
  <c r="D27" i="2"/>
  <c r="E27" i="2"/>
  <c r="A28" i="2"/>
  <c r="F27" i="2"/>
  <c r="N27" i="2" s="1"/>
  <c r="B27" i="2"/>
  <c r="P27" i="2" s="1"/>
  <c r="G27" i="2"/>
  <c r="O27" i="2" s="1"/>
  <c r="C27" i="2"/>
  <c r="Q27" i="2" s="1"/>
  <c r="J25" i="2"/>
  <c r="R25" i="2" l="1"/>
  <c r="S24" i="2" s="1"/>
  <c r="S23" i="2"/>
  <c r="J26" i="2"/>
  <c r="H27" i="2"/>
  <c r="I27" i="2"/>
  <c r="L27" i="2"/>
  <c r="K27" i="2"/>
  <c r="G28" i="2"/>
  <c r="O28" i="2" s="1"/>
  <c r="C28" i="2"/>
  <c r="Q28" i="2" s="1"/>
  <c r="D28" i="2"/>
  <c r="E28" i="2"/>
  <c r="A29" i="2"/>
  <c r="F28" i="2"/>
  <c r="N28" i="2" s="1"/>
  <c r="B28" i="2"/>
  <c r="P28" i="2" s="1"/>
  <c r="M26" i="2"/>
  <c r="T24" i="2" l="1"/>
  <c r="R26" i="2"/>
  <c r="S25" i="2" s="1"/>
  <c r="J27" i="2"/>
  <c r="M27" i="2"/>
  <c r="A30" i="2"/>
  <c r="F29" i="2"/>
  <c r="N29" i="2" s="1"/>
  <c r="B29" i="2"/>
  <c r="P29" i="2" s="1"/>
  <c r="G29" i="2"/>
  <c r="O29" i="2" s="1"/>
  <c r="C29" i="2"/>
  <c r="Q29" i="2" s="1"/>
  <c r="D29" i="2"/>
  <c r="E29" i="2"/>
  <c r="H28" i="2"/>
  <c r="I28" i="2"/>
  <c r="K28" i="2"/>
  <c r="L28" i="2"/>
  <c r="R27" i="2" l="1"/>
  <c r="T26" i="2" s="1"/>
  <c r="T25" i="2"/>
  <c r="M28" i="2"/>
  <c r="J28" i="2"/>
  <c r="K29" i="2"/>
  <c r="L29" i="2"/>
  <c r="E30" i="2"/>
  <c r="A31" i="2"/>
  <c r="F30" i="2"/>
  <c r="N30" i="2" s="1"/>
  <c r="B30" i="2"/>
  <c r="P30" i="2" s="1"/>
  <c r="G30" i="2"/>
  <c r="O30" i="2" s="1"/>
  <c r="C30" i="2"/>
  <c r="Q30" i="2" s="1"/>
  <c r="D30" i="2"/>
  <c r="H29" i="2"/>
  <c r="I29" i="2"/>
  <c r="R28" i="2" l="1"/>
  <c r="T27" i="2" s="1"/>
  <c r="S26" i="2"/>
  <c r="J29" i="2"/>
  <c r="K30" i="2"/>
  <c r="L30" i="2"/>
  <c r="M29" i="2"/>
  <c r="D31" i="2"/>
  <c r="E31" i="2"/>
  <c r="A32" i="2"/>
  <c r="F31" i="2"/>
  <c r="N31" i="2" s="1"/>
  <c r="B31" i="2"/>
  <c r="P31" i="2" s="1"/>
  <c r="G31" i="2"/>
  <c r="O31" i="2" s="1"/>
  <c r="C31" i="2"/>
  <c r="Q31" i="2" s="1"/>
  <c r="I30" i="2"/>
  <c r="H30" i="2"/>
  <c r="R29" i="2" l="1"/>
  <c r="S28" i="2" s="1"/>
  <c r="S27" i="2"/>
  <c r="J30" i="2"/>
  <c r="L31" i="2"/>
  <c r="K31" i="2"/>
  <c r="G32" i="2"/>
  <c r="O32" i="2" s="1"/>
  <c r="C32" i="2"/>
  <c r="Q32" i="2" s="1"/>
  <c r="D32" i="2"/>
  <c r="E32" i="2"/>
  <c r="A33" i="2"/>
  <c r="F32" i="2"/>
  <c r="N32" i="2" s="1"/>
  <c r="B32" i="2"/>
  <c r="P32" i="2" s="1"/>
  <c r="M30" i="2"/>
  <c r="H31" i="2"/>
  <c r="I31" i="2"/>
  <c r="R30" i="2" l="1"/>
  <c r="T28" i="2"/>
  <c r="J31" i="2"/>
  <c r="H32" i="2"/>
  <c r="I32" i="2"/>
  <c r="M31" i="2"/>
  <c r="K32" i="2"/>
  <c r="L32" i="2"/>
  <c r="A34" i="2"/>
  <c r="F33" i="2"/>
  <c r="N33" i="2" s="1"/>
  <c r="B33" i="2"/>
  <c r="P33" i="2" s="1"/>
  <c r="G33" i="2"/>
  <c r="O33" i="2" s="1"/>
  <c r="C33" i="2"/>
  <c r="Q33" i="2" s="1"/>
  <c r="D33" i="2"/>
  <c r="E33" i="2"/>
  <c r="R31" i="2" l="1"/>
  <c r="S29" i="2"/>
  <c r="T29" i="2" s="1"/>
  <c r="H33" i="2"/>
  <c r="I33" i="2"/>
  <c r="M32" i="2"/>
  <c r="J32" i="2"/>
  <c r="K33" i="2"/>
  <c r="L33" i="2"/>
  <c r="A35" i="2"/>
  <c r="E34" i="2"/>
  <c r="F34" i="2"/>
  <c r="N34" i="2" s="1"/>
  <c r="B34" i="2"/>
  <c r="P34" i="2" s="1"/>
  <c r="G34" i="2"/>
  <c r="O34" i="2" s="1"/>
  <c r="C34" i="2"/>
  <c r="Q34" i="2" s="1"/>
  <c r="D34" i="2"/>
  <c r="R32" i="2" l="1"/>
  <c r="S31" i="2" s="1"/>
  <c r="S30" i="2"/>
  <c r="T30" i="2" s="1"/>
  <c r="K34" i="2"/>
  <c r="L34" i="2"/>
  <c r="E35" i="2"/>
  <c r="A36" i="2"/>
  <c r="F35" i="2"/>
  <c r="N35" i="2" s="1"/>
  <c r="B35" i="2"/>
  <c r="P35" i="2" s="1"/>
  <c r="G35" i="2"/>
  <c r="O35" i="2" s="1"/>
  <c r="C35" i="2"/>
  <c r="Q35" i="2" s="1"/>
  <c r="D35" i="2"/>
  <c r="M33" i="2"/>
  <c r="J33" i="2"/>
  <c r="I34" i="2"/>
  <c r="H34" i="2"/>
  <c r="R33" i="2" l="1"/>
  <c r="T32" i="2" s="1"/>
  <c r="T31" i="2"/>
  <c r="J34" i="2"/>
  <c r="K35" i="2"/>
  <c r="L35" i="2"/>
  <c r="D36" i="2"/>
  <c r="E36" i="2"/>
  <c r="A37" i="2"/>
  <c r="F36" i="2"/>
  <c r="N36" i="2" s="1"/>
  <c r="B36" i="2"/>
  <c r="P36" i="2" s="1"/>
  <c r="G36" i="2"/>
  <c r="O36" i="2" s="1"/>
  <c r="C36" i="2"/>
  <c r="Q36" i="2" s="1"/>
  <c r="M34" i="2"/>
  <c r="I35" i="2"/>
  <c r="H35" i="2"/>
  <c r="R34" i="2" l="1"/>
  <c r="S32" i="2"/>
  <c r="J35" i="2"/>
  <c r="M35" i="2"/>
  <c r="H36" i="2"/>
  <c r="I36" i="2"/>
  <c r="L36" i="2"/>
  <c r="K36" i="2"/>
  <c r="G37" i="2"/>
  <c r="O37" i="2" s="1"/>
  <c r="C37" i="2"/>
  <c r="Q37" i="2" s="1"/>
  <c r="D37" i="2"/>
  <c r="E37" i="2"/>
  <c r="A38" i="2"/>
  <c r="S39" i="2" s="1"/>
  <c r="F37" i="2"/>
  <c r="N37" i="2" s="1"/>
  <c r="B37" i="2"/>
  <c r="P37" i="2" s="1"/>
  <c r="R35" i="2" l="1"/>
  <c r="T34" i="2" s="1"/>
  <c r="V16" i="2"/>
  <c r="S33" i="2"/>
  <c r="T33" i="2" s="1"/>
  <c r="J36" i="2"/>
  <c r="M36" i="2"/>
  <c r="K37" i="2"/>
  <c r="L37" i="2"/>
  <c r="H37" i="2"/>
  <c r="I37" i="2"/>
  <c r="A39" i="2"/>
  <c r="B39" i="2" s="1"/>
  <c r="F38" i="2"/>
  <c r="N38" i="2" s="1"/>
  <c r="B38" i="2"/>
  <c r="P38" i="2" s="1"/>
  <c r="G38" i="2"/>
  <c r="O38" i="2" s="1"/>
  <c r="C38" i="2"/>
  <c r="Q38" i="2" s="1"/>
  <c r="D38" i="2"/>
  <c r="E38" i="2"/>
  <c r="R36" i="2" l="1"/>
  <c r="M37" i="2"/>
  <c r="S34" i="2"/>
  <c r="J37" i="2"/>
  <c r="E39" i="2"/>
  <c r="F39" i="2"/>
  <c r="N39" i="2" s="1"/>
  <c r="P39" i="2"/>
  <c r="G39" i="2"/>
  <c r="O39" i="2" s="1"/>
  <c r="C39" i="2"/>
  <c r="Q39" i="2" s="1"/>
  <c r="D39" i="2"/>
  <c r="H38" i="2"/>
  <c r="I38" i="2"/>
  <c r="K38" i="2"/>
  <c r="L38" i="2"/>
  <c r="R37" i="2" l="1"/>
  <c r="S36" i="2" s="1"/>
  <c r="S35" i="2"/>
  <c r="J38" i="2"/>
  <c r="M38" i="2"/>
  <c r="K39" i="2"/>
  <c r="L39" i="2"/>
  <c r="I39" i="2"/>
  <c r="H39" i="2"/>
  <c r="T35" i="2" l="1"/>
  <c r="V18" i="2"/>
  <c r="R38" i="2"/>
  <c r="S37" i="2" s="1"/>
  <c r="T36" i="2"/>
  <c r="M39" i="2"/>
  <c r="J39" i="2"/>
  <c r="V20" i="2" l="1"/>
  <c r="V21" i="2" s="1"/>
  <c r="V22" i="2" s="1"/>
  <c r="V23" i="2" s="1"/>
  <c r="V19" i="2"/>
  <c r="R39" i="2"/>
  <c r="T37" i="2"/>
  <c r="S38" i="2" l="1"/>
  <c r="T38" i="2" s="1"/>
  <c r="T39" i="2" s="1"/>
  <c r="V15" i="2" s="1"/>
  <c r="D13" i="4" l="1"/>
  <c r="D14" i="4" s="1"/>
  <c r="E13" i="4"/>
  <c r="E14" i="4" s="1"/>
  <c r="E10" i="4"/>
  <c r="E11" i="4" s="1"/>
  <c r="D10" i="4"/>
  <c r="D11" i="4" s="1"/>
  <c r="M3" i="4"/>
  <c r="N15" i="4"/>
  <c r="M15" i="4"/>
  <c r="N14" i="4"/>
  <c r="M13" i="4"/>
  <c r="M11" i="4"/>
  <c r="M12" i="4"/>
  <c r="N5" i="4"/>
  <c r="M14" i="4"/>
  <c r="M10" i="4"/>
  <c r="N11" i="4"/>
  <c r="N8" i="4"/>
  <c r="N6" i="4"/>
  <c r="N12" i="4"/>
  <c r="N9" i="4"/>
  <c r="M8" i="4"/>
  <c r="N7" i="4"/>
  <c r="M6" i="4"/>
  <c r="N10" i="4"/>
  <c r="N13" i="4"/>
  <c r="M5" i="4"/>
  <c r="M9" i="4"/>
  <c r="M7" i="4"/>
  <c r="U6" i="4" l="1"/>
  <c r="U8" i="4" s="1"/>
  <c r="V24" i="2" l="1"/>
  <c r="V25" i="2" s="1"/>
  <c r="V26" i="2" s="1"/>
  <c r="V27" i="2" s="1"/>
  <c r="V28" i="2" s="1"/>
  <c r="V29" i="2" s="1"/>
  <c r="L49" i="4" s="1"/>
  <c r="U7" i="2"/>
  <c r="V30" i="2" l="1"/>
  <c r="V31" i="2" s="1"/>
  <c r="V32" i="2" l="1"/>
  <c r="V33" i="2" s="1"/>
  <c r="V36" i="2" s="1"/>
  <c r="V37" i="2"/>
  <c r="V35" i="2"/>
  <c r="L50" i="4" l="1"/>
  <c r="L54" i="4"/>
  <c r="L53" i="4" s="1"/>
  <c r="U9" i="4"/>
  <c r="U10" i="4" s="1"/>
  <c r="V38" i="2"/>
  <c r="L51" i="4" s="1"/>
  <c r="U7" i="4" l="1"/>
  <c r="L14" i="4" s="1"/>
  <c r="L52" i="4"/>
  <c r="U11" i="4"/>
  <c r="T43" i="4" s="1"/>
  <c r="L15" i="4" l="1"/>
  <c r="I27" i="4" s="1"/>
  <c r="T15" i="4"/>
  <c r="U15" i="4" s="1"/>
  <c r="L5" i="4"/>
  <c r="J29" i="4" s="1"/>
  <c r="L6" i="4"/>
  <c r="J30" i="4" s="1"/>
  <c r="L10" i="4"/>
  <c r="J34" i="4" s="1"/>
  <c r="L11" i="4"/>
  <c r="J35" i="4" s="1"/>
  <c r="L8" i="4"/>
  <c r="J20" i="4" s="1"/>
  <c r="L13" i="4"/>
  <c r="I37" i="4" s="1"/>
  <c r="L12" i="4"/>
  <c r="J36" i="4" s="1"/>
  <c r="L7" i="4"/>
  <c r="I19" i="4" s="1"/>
  <c r="L9" i="4"/>
  <c r="I21" i="4" s="1"/>
  <c r="I26" i="4"/>
  <c r="J26" i="4"/>
  <c r="J38" i="4"/>
  <c r="I38" i="4"/>
  <c r="J23" i="4"/>
  <c r="T16" i="4"/>
  <c r="U14" i="4"/>
  <c r="I23" i="4" l="1"/>
  <c r="J39" i="4"/>
  <c r="I20" i="4"/>
  <c r="P20" i="4" s="1"/>
  <c r="I17" i="4"/>
  <c r="J21" i="4"/>
  <c r="O21" i="4" s="1"/>
  <c r="J31" i="4"/>
  <c r="I33" i="4"/>
  <c r="J17" i="4"/>
  <c r="O17" i="4" s="1"/>
  <c r="J27" i="4"/>
  <c r="O27" i="4" s="1"/>
  <c r="J32" i="4"/>
  <c r="I25" i="4"/>
  <c r="I18" i="4"/>
  <c r="I31" i="4"/>
  <c r="I29" i="4"/>
  <c r="P29" i="4" s="1"/>
  <c r="I39" i="4"/>
  <c r="J33" i="4"/>
  <c r="I32" i="4"/>
  <c r="J37" i="4"/>
  <c r="P37" i="4" s="1"/>
  <c r="I35" i="4"/>
  <c r="O35" i="4" s="1"/>
  <c r="J19" i="4"/>
  <c r="P19" i="4" s="1"/>
  <c r="I30" i="4"/>
  <c r="P30" i="4" s="1"/>
  <c r="I34" i="4"/>
  <c r="P34" i="4" s="1"/>
  <c r="J24" i="4"/>
  <c r="I22" i="4"/>
  <c r="I24" i="4"/>
  <c r="I36" i="4"/>
  <c r="O36" i="4" s="1"/>
  <c r="J25" i="4"/>
  <c r="P25" i="4" s="1"/>
  <c r="J18" i="4"/>
  <c r="P18" i="4" s="1"/>
  <c r="J22" i="4"/>
  <c r="T17" i="4"/>
  <c r="U16" i="4"/>
  <c r="P23" i="4"/>
  <c r="O23" i="4"/>
  <c r="O38" i="4"/>
  <c r="P38" i="4"/>
  <c r="P26" i="4"/>
  <c r="O26" i="4"/>
  <c r="O20" i="4" l="1"/>
  <c r="O39" i="4"/>
  <c r="P17" i="4"/>
  <c r="X5" i="4" s="1"/>
  <c r="P35" i="4"/>
  <c r="P21" i="4"/>
  <c r="O33" i="4"/>
  <c r="P31" i="4"/>
  <c r="P39" i="4"/>
  <c r="O32" i="4"/>
  <c r="O31" i="4"/>
  <c r="P27" i="4"/>
  <c r="O24" i="4"/>
  <c r="P32" i="4"/>
  <c r="P33" i="4"/>
  <c r="P36" i="4"/>
  <c r="O29" i="4"/>
  <c r="W13" i="4" s="1"/>
  <c r="O34" i="4"/>
  <c r="O18" i="4"/>
  <c r="O19" i="4"/>
  <c r="O37" i="4"/>
  <c r="O30" i="4"/>
  <c r="P22" i="4"/>
  <c r="O22" i="4"/>
  <c r="P24" i="4"/>
  <c r="O25" i="4"/>
  <c r="W5" i="4"/>
  <c r="W11" i="4"/>
  <c r="W19" i="4"/>
  <c r="X19" i="4"/>
  <c r="X13" i="4"/>
  <c r="T18" i="4"/>
  <c r="U17" i="4"/>
  <c r="X11" i="4" l="1"/>
  <c r="T19" i="4"/>
  <c r="U18" i="4"/>
  <c r="T20" i="4" l="1"/>
  <c r="U19" i="4"/>
  <c r="T21" i="4" l="1"/>
  <c r="U20" i="4"/>
  <c r="T22" i="4" l="1"/>
  <c r="U21" i="4"/>
  <c r="T23" i="4" l="1"/>
  <c r="U22" i="4"/>
  <c r="T24" i="4" l="1"/>
  <c r="U23" i="4"/>
  <c r="T25" i="4" l="1"/>
  <c r="U24" i="4"/>
  <c r="U39" i="4" l="1"/>
  <c r="R39" i="4"/>
  <c r="Q39" i="4" s="1"/>
  <c r="T26" i="4"/>
  <c r="U25" i="4"/>
  <c r="L48" i="4" s="1"/>
  <c r="T27" i="4" l="1"/>
  <c r="U26" i="4"/>
  <c r="Z93" i="4"/>
  <c r="W125" i="4"/>
  <c r="Z57" i="4"/>
  <c r="Z165" i="4"/>
  <c r="Y193" i="4"/>
  <c r="Z101" i="4"/>
  <c r="Z177" i="4"/>
  <c r="Y65" i="4"/>
  <c r="W181" i="4"/>
  <c r="Z113" i="4"/>
  <c r="W81" i="4"/>
  <c r="Z209" i="4"/>
  <c r="Y141" i="4"/>
  <c r="Z137" i="4"/>
  <c r="Y161" i="4"/>
  <c r="Z205" i="4"/>
  <c r="W57" i="4"/>
  <c r="Y125" i="4"/>
  <c r="W177" i="4"/>
  <c r="Y85" i="4"/>
  <c r="Z133" i="4"/>
  <c r="Y189" i="4"/>
  <c r="Y129" i="4"/>
  <c r="Z141" i="4"/>
  <c r="Y117" i="4"/>
  <c r="W197" i="4"/>
  <c r="Y157" i="4"/>
  <c r="W65" i="4"/>
  <c r="W93" i="4"/>
  <c r="Y201" i="4"/>
  <c r="W157" i="4"/>
  <c r="Y173" i="4"/>
  <c r="W201" i="4"/>
  <c r="Y205" i="4"/>
  <c r="Y61" i="4"/>
  <c r="Z85" i="4"/>
  <c r="W129" i="4"/>
  <c r="W97" i="4"/>
  <c r="Y105" i="4"/>
  <c r="Z125" i="4"/>
  <c r="Z117" i="4"/>
  <c r="Y185" i="4"/>
  <c r="Z81" i="4"/>
  <c r="Y89" i="4"/>
  <c r="Y169" i="4"/>
  <c r="W137" i="4"/>
  <c r="W145" i="4"/>
  <c r="W85" i="4"/>
  <c r="Y149" i="4"/>
  <c r="Z109" i="4"/>
  <c r="Z61" i="4"/>
  <c r="W149" i="4"/>
  <c r="Y209" i="4"/>
  <c r="Z105" i="4"/>
  <c r="Z77" i="4"/>
  <c r="Z153" i="4"/>
  <c r="W209" i="4"/>
  <c r="Y57" i="4"/>
  <c r="Y73" i="4"/>
  <c r="W205" i="4"/>
  <c r="Y165" i="4"/>
  <c r="Y69" i="4"/>
  <c r="Y101" i="4"/>
  <c r="W193" i="4"/>
  <c r="Y177" i="4"/>
  <c r="Z69" i="4"/>
  <c r="Z121" i="4"/>
  <c r="W69" i="4"/>
  <c r="W73" i="4"/>
  <c r="Y53" i="4"/>
  <c r="W153" i="4"/>
  <c r="W165" i="4"/>
  <c r="Y81" i="4"/>
  <c r="W189" i="4"/>
  <c r="W89" i="4"/>
  <c r="Z89" i="4"/>
  <c r="Z97" i="4"/>
  <c r="W77" i="4"/>
  <c r="Y197" i="4"/>
  <c r="Z65" i="4"/>
  <c r="W113" i="4"/>
  <c r="Y133" i="4"/>
  <c r="Z193" i="4"/>
  <c r="Y153" i="4"/>
  <c r="Y97" i="4"/>
  <c r="Z169" i="4"/>
  <c r="W53" i="4"/>
  <c r="W185" i="4"/>
  <c r="Z181" i="4"/>
  <c r="Y93" i="4"/>
  <c r="W169" i="4"/>
  <c r="Y113" i="4"/>
  <c r="W101" i="4"/>
  <c r="Z53" i="4"/>
  <c r="W109" i="4"/>
  <c r="Y181" i="4"/>
  <c r="Z197" i="4"/>
  <c r="W121" i="4"/>
  <c r="Z189" i="4"/>
  <c r="Y137" i="4"/>
  <c r="Y145" i="4"/>
  <c r="Y109" i="4"/>
  <c r="Y121" i="4"/>
  <c r="Z149" i="4"/>
  <c r="W161" i="4"/>
  <c r="Y77" i="4"/>
  <c r="W105" i="4"/>
  <c r="W133" i="4"/>
  <c r="Z173" i="4"/>
  <c r="Z201" i="4"/>
  <c r="Z73" i="4"/>
  <c r="Z145" i="4"/>
  <c r="W61" i="4"/>
  <c r="Z157" i="4"/>
  <c r="Z185" i="4"/>
  <c r="Z161" i="4"/>
  <c r="W117" i="4"/>
  <c r="Z129" i="4"/>
  <c r="W173" i="4"/>
  <c r="W141" i="4"/>
  <c r="Z4" i="4"/>
  <c r="U41" i="4"/>
  <c r="Y4" i="4"/>
  <c r="T28" i="4" l="1"/>
  <c r="U27" i="4"/>
  <c r="T29" i="4" l="1"/>
  <c r="U28" i="4"/>
  <c r="T30" i="4" l="1"/>
  <c r="U29" i="4"/>
  <c r="T31" i="4" l="1"/>
  <c r="U30" i="4"/>
  <c r="T32" i="4" l="1"/>
  <c r="U31" i="4"/>
  <c r="T33" i="4" l="1"/>
  <c r="U32" i="4"/>
  <c r="T34" i="4" l="1"/>
  <c r="U34" i="4" s="1"/>
  <c r="U33" i="4"/>
  <c r="T40" i="4" l="1"/>
  <c r="T42" i="4"/>
  <c r="T38" i="4"/>
  <c r="T39" i="4"/>
  <c r="T41" i="4"/>
  <c r="Y7" i="4" l="1"/>
  <c r="Z7" i="4"/>
  <c r="W7" i="4"/>
  <c r="Y15" i="4"/>
  <c r="Z15" i="4"/>
  <c r="W15" i="4"/>
  <c r="Y6" i="4"/>
  <c r="W6" i="4"/>
  <c r="X6" i="4"/>
  <c r="Y14" i="4"/>
  <c r="X14" i="4"/>
  <c r="W14" i="4"/>
  <c r="W9" i="4"/>
  <c r="Z9" i="4"/>
  <c r="Y9" i="4"/>
  <c r="Y17" i="4"/>
  <c r="W17" i="4"/>
  <c r="Z17" i="4"/>
  <c r="Y10" i="4"/>
  <c r="W10" i="4"/>
  <c r="X10" i="4"/>
  <c r="X18" i="4"/>
  <c r="Y18" i="4"/>
  <c r="W18" i="4"/>
  <c r="Z8" i="4"/>
  <c r="W8" i="4"/>
  <c r="W16" i="4"/>
  <c r="Z16" i="4"/>
</calcChain>
</file>

<file path=xl/sharedStrings.xml><?xml version="1.0" encoding="utf-8"?>
<sst xmlns="http://schemas.openxmlformats.org/spreadsheetml/2006/main" count="400" uniqueCount="275">
  <si>
    <t>m</t>
  </si>
  <si>
    <t>Towline</t>
  </si>
  <si>
    <t>Angle between lines</t>
  </si>
  <si>
    <t>deg</t>
  </si>
  <si>
    <t>-</t>
  </si>
  <si>
    <t>aML</t>
  </si>
  <si>
    <t>NL</t>
  </si>
  <si>
    <t>NB</t>
  </si>
  <si>
    <t>Ldir</t>
  </si>
  <si>
    <t>Mooring Line Length</t>
  </si>
  <si>
    <t>Mooring Line Pretension</t>
  </si>
  <si>
    <t>tonne</t>
  </si>
  <si>
    <t>Mooring Lines</t>
  </si>
  <si>
    <t>TL</t>
  </si>
  <si>
    <t>LL</t>
  </si>
  <si>
    <t>LM</t>
  </si>
  <si>
    <t>LT</t>
  </si>
  <si>
    <t>TM</t>
  </si>
  <si>
    <t xml:space="preserve">Towline material </t>
  </si>
  <si>
    <t>TD</t>
  </si>
  <si>
    <t>TT</t>
  </si>
  <si>
    <t>Deployed towline length</t>
  </si>
  <si>
    <t>sector from Turret</t>
  </si>
  <si>
    <t>distance from turret</t>
  </si>
  <si>
    <t xml:space="preserve">Water depth </t>
  </si>
  <si>
    <t>WD</t>
  </si>
  <si>
    <t>Height above seabed</t>
  </si>
  <si>
    <t>h1</t>
  </si>
  <si>
    <t>d1</t>
  </si>
  <si>
    <t>s1</t>
  </si>
  <si>
    <t>r1</t>
  </si>
  <si>
    <t>Radius of obstruction 1</t>
  </si>
  <si>
    <t>Radius of obstruction 2</t>
  </si>
  <si>
    <t>Radius of obstruction 3</t>
  </si>
  <si>
    <t>h3</t>
  </si>
  <si>
    <t>r3</t>
  </si>
  <si>
    <t>s3</t>
  </si>
  <si>
    <t>d3</t>
  </si>
  <si>
    <t>h2</t>
  </si>
  <si>
    <t>r2</t>
  </si>
  <si>
    <t>s2</t>
  </si>
  <si>
    <t>d2</t>
  </si>
  <si>
    <t>Quantity</t>
  </si>
  <si>
    <t>Symbol</t>
  </si>
  <si>
    <t>Units</t>
  </si>
  <si>
    <t>Range</t>
  </si>
  <si>
    <t>Significant sea wave height</t>
  </si>
  <si>
    <t>Sea wave peak period</t>
  </si>
  <si>
    <t>Mean sea direction from</t>
  </si>
  <si>
    <t>Significant swell wave height</t>
  </si>
  <si>
    <t>Swell wave peak period</t>
  </si>
  <si>
    <t>Mean swell direction from</t>
  </si>
  <si>
    <t xml:space="preserve">Mean wind speed </t>
  </si>
  <si>
    <t>Wind direction coming from</t>
  </si>
  <si>
    <t xml:space="preserve">Mean current speed </t>
  </si>
  <si>
    <t>Current direction towards</t>
  </si>
  <si>
    <t>Dir4</t>
  </si>
  <si>
    <t>Vc</t>
  </si>
  <si>
    <t>Dir3</t>
  </si>
  <si>
    <t>Vw</t>
  </si>
  <si>
    <t>Dir2</t>
  </si>
  <si>
    <t>Tp2</t>
  </si>
  <si>
    <t>Hs2</t>
  </si>
  <si>
    <t>Dir1</t>
  </si>
  <si>
    <t>Tp1</t>
  </si>
  <si>
    <t>Hs1</t>
  </si>
  <si>
    <t xml:space="preserve">deg </t>
  </si>
  <si>
    <t>knots</t>
  </si>
  <si>
    <t>Weather input</t>
  </si>
  <si>
    <t>Length between perpendiculars</t>
  </si>
  <si>
    <t>Lpp</t>
  </si>
  <si>
    <t>B</t>
  </si>
  <si>
    <t>T</t>
  </si>
  <si>
    <t>As</t>
  </si>
  <si>
    <t>Width</t>
  </si>
  <si>
    <t>Draft</t>
  </si>
  <si>
    <t>Wind side area</t>
  </si>
  <si>
    <t>Turret location fwd of midship</t>
  </si>
  <si>
    <t>Xtur</t>
  </si>
  <si>
    <t>External (thrust) force</t>
  </si>
  <si>
    <t>Position lon fwd of midships</t>
  </si>
  <si>
    <t>Position lat PS of centerline</t>
  </si>
  <si>
    <t>Direction of Load</t>
  </si>
  <si>
    <t>Xef2</t>
  </si>
  <si>
    <t>Yef2</t>
  </si>
  <si>
    <t>Fext1</t>
  </si>
  <si>
    <t>Fdir1</t>
  </si>
  <si>
    <t>Fext2</t>
  </si>
  <si>
    <t>Fdir2</t>
  </si>
  <si>
    <t>Xef1</t>
  </si>
  <si>
    <t>Yef1</t>
  </si>
  <si>
    <t>Force 1</t>
  </si>
  <si>
    <t>Force 2</t>
  </si>
  <si>
    <t>Required heading</t>
  </si>
  <si>
    <t>Strong point lon fwd of midships</t>
  </si>
  <si>
    <t>Number of tugs</t>
  </si>
  <si>
    <t>Angle between tugs</t>
  </si>
  <si>
    <t>Rated bollard pull</t>
  </si>
  <si>
    <t>Lpp2</t>
  </si>
  <si>
    <t>B2</t>
  </si>
  <si>
    <t>BP</t>
  </si>
  <si>
    <t>Eff</t>
  </si>
  <si>
    <t>%</t>
  </si>
  <si>
    <t>Heading</t>
  </si>
  <si>
    <t>Xsp</t>
  </si>
  <si>
    <t>Ysp</t>
  </si>
  <si>
    <t>No</t>
  </si>
  <si>
    <t>Tdir</t>
  </si>
  <si>
    <t>Pdirp</t>
  </si>
  <si>
    <t>Pdirm</t>
  </si>
  <si>
    <t>Tug input</t>
  </si>
  <si>
    <t>Allowable deviation</t>
  </si>
  <si>
    <t>Hdev</t>
  </si>
  <si>
    <t>Sea Jonswap gamma value</t>
  </si>
  <si>
    <t>g1</t>
  </si>
  <si>
    <t>Swell Jonswap gamma value</t>
  </si>
  <si>
    <t>g2</t>
  </si>
  <si>
    <t>Number of lines per bundle</t>
  </si>
  <si>
    <t>kN</t>
  </si>
  <si>
    <t>theta</t>
  </si>
  <si>
    <t>theta1</t>
  </si>
  <si>
    <t>theta2</t>
  </si>
  <si>
    <t>theta3</t>
  </si>
  <si>
    <t>theta4</t>
  </si>
  <si>
    <t>theta5</t>
  </si>
  <si>
    <t>theta6</t>
  </si>
  <si>
    <t>waves and wind coming from, current, Fext going to</t>
  </si>
  <si>
    <t>current</t>
  </si>
  <si>
    <t>wind</t>
  </si>
  <si>
    <t>Ccfy</t>
  </si>
  <si>
    <t>CCmz</t>
  </si>
  <si>
    <t>C</t>
  </si>
  <si>
    <t>CWfx</t>
  </si>
  <si>
    <t>CWmz</t>
  </si>
  <si>
    <t>W</t>
  </si>
  <si>
    <t>Sea</t>
  </si>
  <si>
    <t>Swell</t>
  </si>
  <si>
    <t>MZ</t>
  </si>
  <si>
    <t>[kNm]</t>
  </si>
  <si>
    <t>DMZ</t>
  </si>
  <si>
    <t>EqH</t>
  </si>
  <si>
    <t>[kNm/deg]</t>
  </si>
  <si>
    <t>[deg]</t>
  </si>
  <si>
    <t>A</t>
  </si>
  <si>
    <t>Fxtug</t>
  </si>
  <si>
    <t>Ftug</t>
  </si>
  <si>
    <t>Tugangle</t>
  </si>
  <si>
    <t>om/wp</t>
  </si>
  <si>
    <t xml:space="preserve">s </t>
  </si>
  <si>
    <t>alpha</t>
  </si>
  <si>
    <t>C1</t>
  </si>
  <si>
    <t>S1</t>
  </si>
  <si>
    <t>C2</t>
  </si>
  <si>
    <t>S2</t>
  </si>
  <si>
    <t>QTFY1</t>
  </si>
  <si>
    <t>QTFY2</t>
  </si>
  <si>
    <t>dom/wp</t>
  </si>
  <si>
    <t>k7</t>
  </si>
  <si>
    <t>k10</t>
  </si>
  <si>
    <t>w10</t>
  </si>
  <si>
    <t>w7</t>
  </si>
  <si>
    <t>Fytug</t>
  </si>
  <si>
    <t>Towten</t>
  </si>
  <si>
    <t>MaxLine</t>
  </si>
  <si>
    <t>Ftug1</t>
  </si>
  <si>
    <t>Tugangle1</t>
  </si>
  <si>
    <t>Ftug2</t>
  </si>
  <si>
    <t>Tugangle2</t>
  </si>
  <si>
    <t>TTv</t>
  </si>
  <si>
    <t>TTh</t>
  </si>
  <si>
    <t>x [m]</t>
  </si>
  <si>
    <t>z [m]</t>
  </si>
  <si>
    <t>LTv</t>
  </si>
  <si>
    <t>LTh</t>
  </si>
  <si>
    <t>LD</t>
  </si>
  <si>
    <t>c1</t>
  </si>
  <si>
    <t>c2</t>
  </si>
  <si>
    <t>kN/m</t>
  </si>
  <si>
    <t>XFPSO</t>
  </si>
  <si>
    <t>YFPSO</t>
  </si>
  <si>
    <t>XTUG</t>
  </si>
  <si>
    <t>YTUG</t>
  </si>
  <si>
    <t>[1 or 2]</t>
  </si>
  <si>
    <t>XEQ</t>
  </si>
  <si>
    <t>YEQ</t>
  </si>
  <si>
    <t>XRH</t>
  </si>
  <si>
    <t>YRH</t>
  </si>
  <si>
    <t>x1</t>
  </si>
  <si>
    <t>y1</t>
  </si>
  <si>
    <t>Xwind</t>
  </si>
  <si>
    <t>Ywind</t>
  </si>
  <si>
    <t>Xwave</t>
  </si>
  <si>
    <t>Ywave</t>
  </si>
  <si>
    <t>Xcurr</t>
  </si>
  <si>
    <t>Ycurr</t>
  </si>
  <si>
    <t>x[m]</t>
  </si>
  <si>
    <t>z[m]</t>
  </si>
  <si>
    <t>Y North</t>
  </si>
  <si>
    <t>Xnorth</t>
  </si>
  <si>
    <t>WD-T</t>
  </si>
  <si>
    <t>[-Lpp:Lpp]</t>
  </si>
  <si>
    <t>[0:360]</t>
  </si>
  <si>
    <t>[0:Lpp]</t>
  </si>
  <si>
    <t>[5:25]</t>
  </si>
  <si>
    <t>[30:80]</t>
  </si>
  <si>
    <t>[0:5]</t>
  </si>
  <si>
    <t>[1:25]</t>
  </si>
  <si>
    <t>[1:7]</t>
  </si>
  <si>
    <t>[0 :360]</t>
  </si>
  <si>
    <t>[0:50]</t>
  </si>
  <si>
    <t>[0:10]</t>
  </si>
  <si>
    <t>[0:180]</t>
  </si>
  <si>
    <t>[-B:B]</t>
  </si>
  <si>
    <t>[1:40]</t>
  </si>
  <si>
    <t>[0:100]</t>
  </si>
  <si>
    <t>[0:600]</t>
  </si>
  <si>
    <t>[0:1000]</t>
  </si>
  <si>
    <t>[0:150]</t>
  </si>
  <si>
    <t>[30:10000]</t>
  </si>
  <si>
    <t>[0:500]</t>
  </si>
  <si>
    <t>Used</t>
  </si>
  <si>
    <t>circle</t>
  </si>
  <si>
    <t>kN, individual tug</t>
  </si>
  <si>
    <t>kN, combined tugs</t>
  </si>
  <si>
    <t>kNm/deg</t>
  </si>
  <si>
    <t>deg, combined tugs</t>
  </si>
  <si>
    <t>Yswell</t>
  </si>
  <si>
    <t>Xswell</t>
  </si>
  <si>
    <t>Number of bundles</t>
  </si>
  <si>
    <t>z taut [m]</t>
  </si>
  <si>
    <t>slope</t>
  </si>
  <si>
    <t>Minimum SF towing angle</t>
  </si>
  <si>
    <t>Maximum SF towing angle</t>
  </si>
  <si>
    <t>yFX1</t>
  </si>
  <si>
    <t>xFX1</t>
  </si>
  <si>
    <t>within spec. sector</t>
  </si>
  <si>
    <t>FX req for stability</t>
  </si>
  <si>
    <t>3 step iteration to</t>
  </si>
  <si>
    <t>find max tow length</t>
  </si>
  <si>
    <t>with no line on the</t>
  </si>
  <si>
    <t>ground</t>
  </si>
  <si>
    <t>WEATHER, COMPASS AND EXTERNAL FORCE ARROWS</t>
  </si>
  <si>
    <t>VESSEL CONTOURS AND POSITIONS</t>
  </si>
  <si>
    <t>MOORING LINE CATENARY</t>
  </si>
  <si>
    <t>TOW LINE CATENARY</t>
  </si>
  <si>
    <t>DEPTH COLOR LINES</t>
  </si>
  <si>
    <t>For Tow, Obstructions and Mooring</t>
  </si>
  <si>
    <t>obstacle 1</t>
  </si>
  <si>
    <t>obstacle 2</t>
  </si>
  <si>
    <t>obstacle 3</t>
  </si>
  <si>
    <t>Heading control</t>
  </si>
  <si>
    <t>Depth &lt; Draft</t>
  </si>
  <si>
    <t>[&gt;WD]</t>
  </si>
  <si>
    <t>[5L:60L]</t>
  </si>
  <si>
    <t>Bollard Pull Efficiency</t>
  </si>
  <si>
    <t>Heading line 1</t>
  </si>
  <si>
    <t>FPSO Input</t>
  </si>
  <si>
    <r>
      <t>m</t>
    </r>
    <r>
      <rPr>
        <vertAlign val="superscript"/>
        <sz val="10"/>
        <color theme="1"/>
        <rFont val="Calibri"/>
        <family val="2"/>
        <scheme val="minor"/>
      </rPr>
      <t>2</t>
    </r>
  </si>
  <si>
    <t>[100:500]</t>
  </si>
  <si>
    <t>Maximum Catenary Depth</t>
  </si>
  <si>
    <t>Strong point lat ps of centerline</t>
  </si>
  <si>
    <t>HMPE</t>
  </si>
  <si>
    <t>User Def</t>
  </si>
  <si>
    <t>Chain</t>
  </si>
  <si>
    <t xml:space="preserve">Mooring line material </t>
  </si>
  <si>
    <t>MT</t>
  </si>
  <si>
    <t>Steel wire</t>
  </si>
  <si>
    <t>[0:300]</t>
  </si>
  <si>
    <t>user def</t>
  </si>
  <si>
    <t>steel wire</t>
  </si>
  <si>
    <t>Weight in water</t>
  </si>
  <si>
    <t>N/m / (mm^2)</t>
  </si>
  <si>
    <t>Max Diam</t>
  </si>
  <si>
    <t>[mm]</t>
  </si>
  <si>
    <t>Input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</si>
</sst>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00000"/>
    <numFmt numFmtId="167" formatCode="0.00000"/>
  </numFmts>
  <fonts count="12" x14ac:knownFonts="1"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Symbol"/>
      <family val="1"/>
      <charset val="2"/>
    </font>
    <font>
      <sz val="5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 tint="-0.1499984740745262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0" xfId="0" applyFill="1"/>
    <xf numFmtId="0" fontId="0" fillId="0" borderId="0" xfId="0" applyNumberFormat="1"/>
    <xf numFmtId="0" fontId="0" fillId="6" borderId="0" xfId="0" applyFill="1"/>
    <xf numFmtId="0" fontId="0" fillId="7" borderId="0" xfId="0" applyFill="1"/>
    <xf numFmtId="0" fontId="0" fillId="7" borderId="0" xfId="0" applyFill="1" applyAlignment="1">
      <alignment horizontal="center"/>
    </xf>
    <xf numFmtId="2" fontId="0" fillId="6" borderId="0" xfId="0" applyNumberFormat="1" applyFill="1"/>
    <xf numFmtId="1" fontId="0" fillId="0" borderId="0" xfId="0" applyNumberFormat="1"/>
    <xf numFmtId="0" fontId="0" fillId="8" borderId="0" xfId="0" applyFill="1"/>
    <xf numFmtId="164" fontId="0" fillId="8" borderId="0" xfId="0" applyNumberFormat="1" applyFill="1"/>
    <xf numFmtId="1" fontId="0" fillId="8" borderId="0" xfId="0" applyNumberFormat="1" applyFill="1"/>
    <xf numFmtId="164" fontId="0" fillId="4" borderId="0" xfId="0" applyNumberFormat="1" applyFill="1"/>
    <xf numFmtId="1" fontId="0" fillId="4" borderId="0" xfId="0" applyNumberFormat="1" applyFill="1"/>
    <xf numFmtId="0" fontId="0" fillId="9" borderId="0" xfId="0" applyFill="1"/>
    <xf numFmtId="2" fontId="0" fillId="9" borderId="0" xfId="0" applyNumberFormat="1" applyFill="1"/>
    <xf numFmtId="1" fontId="0" fillId="9" borderId="0" xfId="0" applyNumberFormat="1" applyFill="1"/>
    <xf numFmtId="2" fontId="0" fillId="7" borderId="0" xfId="0" applyNumberFormat="1" applyFill="1"/>
    <xf numFmtId="1" fontId="0" fillId="7" borderId="0" xfId="0" applyNumberFormat="1" applyFill="1"/>
    <xf numFmtId="165" fontId="0" fillId="7" borderId="0" xfId="0" applyNumberFormat="1" applyFill="1"/>
    <xf numFmtId="2" fontId="0" fillId="0" borderId="0" xfId="0" applyNumberFormat="1"/>
    <xf numFmtId="11" fontId="0" fillId="7" borderId="0" xfId="0" applyNumberFormat="1" applyFill="1"/>
    <xf numFmtId="165" fontId="0" fillId="6" borderId="0" xfId="0" applyNumberFormat="1" applyFill="1"/>
    <xf numFmtId="166" fontId="0" fillId="9" borderId="0" xfId="0" applyNumberFormat="1" applyFill="1"/>
    <xf numFmtId="165" fontId="0" fillId="9" borderId="0" xfId="0" applyNumberFormat="1" applyFill="1"/>
    <xf numFmtId="0" fontId="0" fillId="6" borderId="0" xfId="0" applyFill="1" applyAlignment="1">
      <alignment horizontal="center"/>
    </xf>
    <xf numFmtId="165" fontId="0" fillId="8" borderId="0" xfId="0" applyNumberFormat="1" applyFill="1"/>
    <xf numFmtId="165" fontId="0" fillId="0" borderId="0" xfId="0" applyNumberFormat="1"/>
    <xf numFmtId="11" fontId="0" fillId="0" borderId="0" xfId="0" applyNumberFormat="1"/>
    <xf numFmtId="0" fontId="1" fillId="0" borderId="0" xfId="0" applyFont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8" borderId="0" xfId="0" applyFont="1" applyFill="1" applyAlignment="1">
      <alignment horizontal="left"/>
    </xf>
    <xf numFmtId="0" fontId="2" fillId="8" borderId="0" xfId="0" applyFont="1" applyFill="1" applyAlignment="1">
      <alignment horizontal="center"/>
    </xf>
    <xf numFmtId="1" fontId="2" fillId="8" borderId="0" xfId="0" applyNumberFormat="1" applyFont="1" applyFill="1" applyAlignment="1">
      <alignment horizontal="center"/>
    </xf>
    <xf numFmtId="165" fontId="2" fillId="8" borderId="0" xfId="0" applyNumberFormat="1" applyFont="1" applyFill="1" applyAlignment="1">
      <alignment horizontal="center"/>
    </xf>
    <xf numFmtId="1" fontId="2" fillId="0" borderId="0" xfId="0" applyNumberFormat="1" applyFont="1"/>
    <xf numFmtId="0" fontId="0" fillId="11" borderId="0" xfId="0" applyFill="1"/>
    <xf numFmtId="0" fontId="2" fillId="11" borderId="0" xfId="0" applyFont="1" applyFill="1" applyAlignment="1">
      <alignment horizontal="center"/>
    </xf>
    <xf numFmtId="1" fontId="0" fillId="2" borderId="0" xfId="0" applyNumberFormat="1" applyFill="1"/>
    <xf numFmtId="1" fontId="2" fillId="2" borderId="0" xfId="0" applyNumberFormat="1" applyFont="1" applyFill="1" applyAlignment="1">
      <alignment horizontal="center"/>
    </xf>
    <xf numFmtId="1" fontId="0" fillId="6" borderId="0" xfId="0" applyNumberFormat="1" applyFill="1" applyAlignment="1">
      <alignment horizontal="center"/>
    </xf>
    <xf numFmtId="2" fontId="2" fillId="11" borderId="0" xfId="0" applyNumberFormat="1" applyFont="1" applyFill="1" applyAlignment="1">
      <alignment horizontal="center"/>
    </xf>
    <xf numFmtId="1" fontId="2" fillId="0" borderId="0" xfId="0" applyNumberFormat="1" applyFont="1" applyAlignment="1">
      <alignment horizontal="center"/>
    </xf>
    <xf numFmtId="0" fontId="7" fillId="6" borderId="0" xfId="0" applyFont="1" applyFill="1"/>
    <xf numFmtId="167" fontId="0" fillId="6" borderId="0" xfId="0" applyNumberFormat="1" applyFill="1" applyAlignment="1">
      <alignment horizontal="center"/>
    </xf>
    <xf numFmtId="167" fontId="10" fillId="6" borderId="0" xfId="0" applyNumberFormat="1" applyFont="1" applyFill="1" applyAlignment="1">
      <alignment horizontal="center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2" fillId="2" borderId="0" xfId="0" applyNumberFormat="1" applyFont="1" applyFill="1" applyProtection="1"/>
    <xf numFmtId="0" fontId="2" fillId="2" borderId="0" xfId="0" applyFont="1" applyFill="1" applyAlignment="1" applyProtection="1">
      <alignment horizontal="center"/>
    </xf>
    <xf numFmtId="0" fontId="8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2" borderId="0" xfId="0" applyFont="1" applyFill="1" applyProtection="1"/>
    <xf numFmtId="0" fontId="4" fillId="2" borderId="0" xfId="0" applyFont="1" applyFill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2" fillId="10" borderId="0" xfId="0" applyFont="1" applyFill="1" applyProtection="1"/>
    <xf numFmtId="0" fontId="4" fillId="10" borderId="0" xfId="0" applyFont="1" applyFill="1" applyAlignment="1" applyProtection="1">
      <alignment horizontal="center"/>
    </xf>
    <xf numFmtId="0" fontId="2" fillId="10" borderId="0" xfId="0" applyFont="1" applyFill="1" applyAlignment="1" applyProtection="1">
      <alignment horizontal="center"/>
    </xf>
    <xf numFmtId="0" fontId="6" fillId="10" borderId="0" xfId="0" applyFont="1" applyFill="1" applyAlignment="1" applyProtection="1">
      <alignment horizontal="center"/>
    </xf>
    <xf numFmtId="0" fontId="2" fillId="4" borderId="0" xfId="0" applyFont="1" applyFill="1" applyProtection="1"/>
    <xf numFmtId="0" fontId="2" fillId="4" borderId="0" xfId="0" applyFont="1" applyFill="1" applyAlignment="1" applyProtection="1">
      <alignment horizontal="center"/>
    </xf>
    <xf numFmtId="0" fontId="4" fillId="4" borderId="0" xfId="0" applyFont="1" applyFill="1" applyAlignment="1" applyProtection="1">
      <alignment horizontal="center"/>
    </xf>
    <xf numFmtId="0" fontId="2" fillId="5" borderId="0" xfId="0" applyFont="1" applyFill="1" applyProtection="1"/>
    <xf numFmtId="0" fontId="2" fillId="5" borderId="0" xfId="0" applyFont="1" applyFill="1" applyAlignment="1" applyProtection="1">
      <alignment horizontal="center"/>
    </xf>
    <xf numFmtId="0" fontId="4" fillId="5" borderId="0" xfId="0" applyFont="1" applyFill="1" applyAlignment="1" applyProtection="1">
      <alignment horizontal="center"/>
    </xf>
    <xf numFmtId="0" fontId="2" fillId="6" borderId="0" xfId="0" applyFont="1" applyFill="1" applyProtection="1"/>
    <xf numFmtId="0" fontId="2" fillId="6" borderId="0" xfId="0" applyFont="1" applyFill="1" applyAlignment="1" applyProtection="1">
      <alignment horizontal="center"/>
    </xf>
    <xf numFmtId="0" fontId="4" fillId="6" borderId="0" xfId="0" applyFont="1" applyFill="1" applyAlignment="1" applyProtection="1">
      <alignment horizontal="center"/>
    </xf>
    <xf numFmtId="0" fontId="2" fillId="6" borderId="0" xfId="0" quotePrefix="1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4" fillId="8" borderId="0" xfId="0" applyFont="1" applyFill="1" applyAlignment="1" applyProtection="1">
      <alignment horizontal="left"/>
    </xf>
    <xf numFmtId="0" fontId="2" fillId="8" borderId="0" xfId="0" applyFont="1" applyFill="1" applyAlignment="1" applyProtection="1">
      <alignment horizontal="center"/>
    </xf>
    <xf numFmtId="1" fontId="11" fillId="0" borderId="0" xfId="0" applyNumberFormat="1" applyFont="1" applyFill="1" applyAlignment="1" applyProtection="1">
      <alignment horizontal="center"/>
    </xf>
    <xf numFmtId="0" fontId="2" fillId="8" borderId="0" xfId="0" applyFont="1" applyFill="1" applyAlignment="1" applyProtection="1">
      <alignment horizontal="left"/>
    </xf>
    <xf numFmtId="1" fontId="2" fillId="8" borderId="0" xfId="0" applyNumberFormat="1" applyFont="1" applyFill="1" applyAlignment="1" applyProtection="1">
      <alignment horizontal="center"/>
    </xf>
    <xf numFmtId="0" fontId="5" fillId="8" borderId="0" xfId="0" applyFont="1" applyFill="1" applyAlignment="1" applyProtection="1">
      <alignment horizontal="left"/>
    </xf>
    <xf numFmtId="0" fontId="2" fillId="7" borderId="0" xfId="0" applyFont="1" applyFill="1" applyProtection="1"/>
    <xf numFmtId="0" fontId="2" fillId="7" borderId="0" xfId="0" applyFont="1" applyFill="1" applyAlignment="1" applyProtection="1">
      <alignment horizontal="center"/>
    </xf>
    <xf numFmtId="0" fontId="2" fillId="3" borderId="0" xfId="0" applyFont="1" applyFill="1" applyProtection="1"/>
    <xf numFmtId="0" fontId="2" fillId="3" borderId="0" xfId="0" applyFont="1" applyFill="1" applyAlignment="1" applyProtection="1">
      <alignment horizontal="center"/>
    </xf>
    <xf numFmtId="0" fontId="4" fillId="3" borderId="0" xfId="0" applyFont="1" applyFill="1" applyAlignment="1" applyProtection="1">
      <alignment horizontal="center"/>
    </xf>
    <xf numFmtId="0" fontId="2" fillId="3" borderId="0" xfId="0" quotePrefix="1" applyFont="1" applyFill="1" applyAlignment="1" applyProtection="1">
      <alignment horizontal="center"/>
    </xf>
    <xf numFmtId="0" fontId="0" fillId="0" borderId="0" xfId="0" applyAlignment="1">
      <alignment horizontal="right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10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2" fillId="6" borderId="1" xfId="0" applyFont="1" applyFill="1" applyBorder="1" applyAlignment="1" applyProtection="1">
      <alignment horizontal="center"/>
      <protection locked="0"/>
    </xf>
    <xf numFmtId="0" fontId="2" fillId="6" borderId="1" xfId="0" quotePrefix="1" applyFont="1" applyFill="1" applyBorder="1" applyAlignment="1" applyProtection="1">
      <alignment horizontal="center"/>
      <protection locked="0"/>
    </xf>
    <xf numFmtId="0" fontId="4" fillId="6" borderId="1" xfId="0" applyFont="1" applyFill="1" applyBorder="1" applyAlignment="1" applyProtection="1">
      <alignment horizontal="center"/>
      <protection locked="0"/>
    </xf>
    <xf numFmtId="0" fontId="2" fillId="7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8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textRotation="90"/>
    </xf>
    <xf numFmtId="0" fontId="2" fillId="4" borderId="0" xfId="0" applyFont="1" applyFill="1" applyAlignment="1" applyProtection="1">
      <alignment horizontal="center" vertical="center" textRotation="90"/>
    </xf>
    <xf numFmtId="0" fontId="2" fillId="7" borderId="0" xfId="0" applyFont="1" applyFill="1" applyAlignment="1" applyProtection="1">
      <alignment horizontal="center" vertical="center" textRotation="90"/>
    </xf>
    <xf numFmtId="0" fontId="2" fillId="6" borderId="0" xfId="0" applyFont="1" applyFill="1" applyAlignment="1" applyProtection="1">
      <alignment horizontal="center" vertical="center" textRotation="90"/>
    </xf>
    <xf numFmtId="0" fontId="2" fillId="3" borderId="0" xfId="0" applyFont="1" applyFill="1" applyAlignment="1" applyProtection="1">
      <alignment horizontal="center" vertical="center" textRotation="90"/>
    </xf>
    <xf numFmtId="0" fontId="2" fillId="5" borderId="0" xfId="0" applyFont="1" applyFill="1" applyAlignment="1" applyProtection="1">
      <alignment horizontal="center" vertical="center" textRotation="90"/>
    </xf>
    <xf numFmtId="0" fontId="0" fillId="6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31"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010576854661829E-2"/>
          <c:y val="2.3113655984749289E-2"/>
          <c:w val="0.9459788462906763"/>
          <c:h val="0.83610316665359596"/>
        </c:manualLayout>
      </c:layout>
      <c:scatterChart>
        <c:scatterStyle val="lineMarker"/>
        <c:varyColors val="0"/>
        <c:ser>
          <c:idx val="8"/>
          <c:order val="0"/>
          <c:tx>
            <c:v>.</c:v>
          </c:tx>
          <c:spPr>
            <a:ln w="76200">
              <a:solidFill>
                <a:schemeClr val="accent3">
                  <a:lumMod val="20000"/>
                  <a:lumOff val="80000"/>
                </a:schemeClr>
              </a:solidFill>
            </a:ln>
          </c:spPr>
          <c:marker>
            <c:symbol val="none"/>
          </c:marker>
          <c:xVal>
            <c:numRef>
              <c:f>Vis!$AC$2:$AC$405</c:f>
              <c:numCache>
                <c:formatCode>0</c:formatCode>
                <c:ptCount val="404"/>
                <c:pt idx="0" formatCode="General">
                  <c:v>-2334.722665003957</c:v>
                </c:pt>
                <c:pt idx="1">
                  <c:v>270</c:v>
                </c:pt>
                <c:pt idx="2">
                  <c:v>270</c:v>
                </c:pt>
                <c:pt idx="3">
                  <c:v>10876.601717798212</c:v>
                </c:pt>
                <c:pt idx="5" formatCode="General">
                  <c:v>-2310.1024711786517</c:v>
                </c:pt>
                <c:pt idx="6" formatCode="General">
                  <c:v>295.38566529714365</c:v>
                </c:pt>
                <c:pt idx="7" formatCode="General">
                  <c:v>305.35533905932738</c:v>
                </c:pt>
                <c:pt idx="8" formatCode="General">
                  <c:v>10894.279387327875</c:v>
                </c:pt>
                <c:pt idx="10" formatCode="General">
                  <c:v>-2285.4822773533465</c:v>
                </c:pt>
                <c:pt idx="11" formatCode="General">
                  <c:v>320.77133059428729</c:v>
                </c:pt>
                <c:pt idx="12" formatCode="General">
                  <c:v>340.71067811865476</c:v>
                </c:pt>
                <c:pt idx="13" formatCode="General">
                  <c:v>10911.957056857538</c:v>
                </c:pt>
                <c:pt idx="15" formatCode="General">
                  <c:v>-2260.8620835280412</c:v>
                </c:pt>
                <c:pt idx="16" formatCode="General">
                  <c:v>346.15699589143094</c:v>
                </c:pt>
                <c:pt idx="17" formatCode="General">
                  <c:v>376.06601717798213</c:v>
                </c:pt>
                <c:pt idx="18" formatCode="General">
                  <c:v>10929.634726387201</c:v>
                </c:pt>
                <c:pt idx="20" formatCode="General">
                  <c:v>-2236.241889702736</c:v>
                </c:pt>
                <c:pt idx="21" formatCode="General">
                  <c:v>371.54266118857458</c:v>
                </c:pt>
                <c:pt idx="22" formatCode="General">
                  <c:v>411.42135623730951</c:v>
                </c:pt>
                <c:pt idx="23" formatCode="General">
                  <c:v>10947.312395916864</c:v>
                </c:pt>
                <c:pt idx="25" formatCode="General">
                  <c:v>-2211.6216958774307</c:v>
                </c:pt>
                <c:pt idx="26" formatCode="General">
                  <c:v>396.92832648571823</c:v>
                </c:pt>
                <c:pt idx="27" formatCode="General">
                  <c:v>446.77669529663689</c:v>
                </c:pt>
                <c:pt idx="28" formatCode="General">
                  <c:v>10964.990065446527</c:v>
                </c:pt>
                <c:pt idx="30" formatCode="General">
                  <c:v>-2187.0015020521255</c:v>
                </c:pt>
                <c:pt idx="31" formatCode="General">
                  <c:v>422.31399178286188</c:v>
                </c:pt>
                <c:pt idx="32" formatCode="General">
                  <c:v>482.13203435596427</c:v>
                </c:pt>
                <c:pt idx="33" formatCode="General">
                  <c:v>10982.66773497619</c:v>
                </c:pt>
                <c:pt idx="35" formatCode="General">
                  <c:v>-2162.3813082268202</c:v>
                </c:pt>
                <c:pt idx="36" formatCode="General">
                  <c:v>447.69965708000552</c:v>
                </c:pt>
                <c:pt idx="37" formatCode="General">
                  <c:v>517.48737341529159</c:v>
                </c:pt>
                <c:pt idx="38" formatCode="General">
                  <c:v>11000.345404505853</c:v>
                </c:pt>
                <c:pt idx="40" formatCode="General">
                  <c:v>-2137.761114401515</c:v>
                </c:pt>
                <c:pt idx="41" formatCode="General">
                  <c:v>473.08532237714917</c:v>
                </c:pt>
                <c:pt idx="42" formatCode="General">
                  <c:v>552.84271247461891</c:v>
                </c:pt>
                <c:pt idx="43" formatCode="General">
                  <c:v>11018.023074035516</c:v>
                </c:pt>
                <c:pt idx="45" formatCode="General">
                  <c:v>-2113.1409205762097</c:v>
                </c:pt>
                <c:pt idx="46" formatCode="General">
                  <c:v>498.47098767429281</c:v>
                </c:pt>
                <c:pt idx="47" formatCode="General">
                  <c:v>588.19805153394623</c:v>
                </c:pt>
                <c:pt idx="48" formatCode="General">
                  <c:v>11035.700743565179</c:v>
                </c:pt>
                <c:pt idx="50" formatCode="General">
                  <c:v>-2088.5207267509045</c:v>
                </c:pt>
                <c:pt idx="51" formatCode="General">
                  <c:v>523.85665297143646</c:v>
                </c:pt>
                <c:pt idx="52" formatCode="General">
                  <c:v>623.55339059327355</c:v>
                </c:pt>
                <c:pt idx="53" formatCode="General">
                  <c:v>11053.378413094842</c:v>
                </c:pt>
                <c:pt idx="55" formatCode="General">
                  <c:v>-2063.9005329255992</c:v>
                </c:pt>
                <c:pt idx="56" formatCode="General">
                  <c:v>549.24231826858011</c:v>
                </c:pt>
                <c:pt idx="57" formatCode="General">
                  <c:v>658.90872965260087</c:v>
                </c:pt>
                <c:pt idx="58" formatCode="General">
                  <c:v>11071.056082624506</c:v>
                </c:pt>
                <c:pt idx="60" formatCode="General">
                  <c:v>-2039.280339100294</c:v>
                </c:pt>
                <c:pt idx="61" formatCode="General">
                  <c:v>574.62798356572375</c:v>
                </c:pt>
                <c:pt idx="62" formatCode="General">
                  <c:v>694.26406871192819</c:v>
                </c:pt>
                <c:pt idx="63" formatCode="General">
                  <c:v>11088.733752154169</c:v>
                </c:pt>
                <c:pt idx="65" formatCode="General">
                  <c:v>-2014.6601452749887</c:v>
                </c:pt>
                <c:pt idx="66" formatCode="General">
                  <c:v>600.0136488628674</c:v>
                </c:pt>
                <c:pt idx="67" formatCode="General">
                  <c:v>729.61940777125551</c:v>
                </c:pt>
                <c:pt idx="68" formatCode="General">
                  <c:v>11106.411421683832</c:v>
                </c:pt>
                <c:pt idx="70" formatCode="General">
                  <c:v>-1990.0399514496835</c:v>
                </c:pt>
                <c:pt idx="71" formatCode="General">
                  <c:v>625.39931416001104</c:v>
                </c:pt>
                <c:pt idx="72" formatCode="General">
                  <c:v>764.97474683058283</c:v>
                </c:pt>
                <c:pt idx="73" formatCode="General">
                  <c:v>11124.089091213495</c:v>
                </c:pt>
                <c:pt idx="75" formatCode="General">
                  <c:v>-1965.4197576243782</c:v>
                </c:pt>
                <c:pt idx="76" formatCode="General">
                  <c:v>650.78497945715469</c:v>
                </c:pt>
                <c:pt idx="77" formatCode="General">
                  <c:v>800.33008588991015</c:v>
                </c:pt>
                <c:pt idx="78" formatCode="General">
                  <c:v>11141.766760743158</c:v>
                </c:pt>
                <c:pt idx="80" formatCode="General">
                  <c:v>-1940.799563799073</c:v>
                </c:pt>
                <c:pt idx="81" formatCode="General">
                  <c:v>676.17064475429834</c:v>
                </c:pt>
                <c:pt idx="82" formatCode="General">
                  <c:v>835.68542494923747</c:v>
                </c:pt>
                <c:pt idx="83" formatCode="General">
                  <c:v>11159.444430272821</c:v>
                </c:pt>
                <c:pt idx="85" formatCode="General">
                  <c:v>-1916.1793699737677</c:v>
                </c:pt>
                <c:pt idx="86" formatCode="General">
                  <c:v>701.55631005144198</c:v>
                </c:pt>
                <c:pt idx="87" formatCode="General">
                  <c:v>871.04076400856479</c:v>
                </c:pt>
                <c:pt idx="88" formatCode="General">
                  <c:v>11177.122099802484</c:v>
                </c:pt>
                <c:pt idx="90" formatCode="General">
                  <c:v>-1891.5591761484625</c:v>
                </c:pt>
                <c:pt idx="91" formatCode="General">
                  <c:v>726.94197534858563</c:v>
                </c:pt>
                <c:pt idx="92" formatCode="General">
                  <c:v>906.39610306789211</c:v>
                </c:pt>
                <c:pt idx="93" formatCode="General">
                  <c:v>11194.799769332147</c:v>
                </c:pt>
                <c:pt idx="95" formatCode="General">
                  <c:v>-1866.9389823231572</c:v>
                </c:pt>
                <c:pt idx="96" formatCode="General">
                  <c:v>752.32764064572928</c:v>
                </c:pt>
                <c:pt idx="97" formatCode="General">
                  <c:v>941.75144212721943</c:v>
                </c:pt>
                <c:pt idx="98" formatCode="General">
                  <c:v>11212.47743886181</c:v>
                </c:pt>
                <c:pt idx="100" formatCode="General">
                  <c:v>-1842.318788497852</c:v>
                </c:pt>
                <c:pt idx="101" formatCode="General">
                  <c:v>777.71330594287292</c:v>
                </c:pt>
                <c:pt idx="102" formatCode="General">
                  <c:v>977.10678118654675</c:v>
                </c:pt>
                <c:pt idx="103" formatCode="General">
                  <c:v>11230.155108391473</c:v>
                </c:pt>
                <c:pt idx="105" formatCode="General">
                  <c:v>-1817.6985946725467</c:v>
                </c:pt>
                <c:pt idx="106" formatCode="General">
                  <c:v>803.09897124001657</c:v>
                </c:pt>
                <c:pt idx="107" formatCode="General">
                  <c:v>1012.4621202458741</c:v>
                </c:pt>
                <c:pt idx="108" formatCode="General">
                  <c:v>11247.832777921136</c:v>
                </c:pt>
                <c:pt idx="110" formatCode="General">
                  <c:v>-1793.0784008472415</c:v>
                </c:pt>
                <c:pt idx="111" formatCode="General">
                  <c:v>828.48463653716021</c:v>
                </c:pt>
                <c:pt idx="112" formatCode="General">
                  <c:v>1047.8174593052015</c:v>
                </c:pt>
                <c:pt idx="113" formatCode="General">
                  <c:v>11265.510447450799</c:v>
                </c:pt>
                <c:pt idx="115" formatCode="General">
                  <c:v>-1768.4582070219362</c:v>
                </c:pt>
                <c:pt idx="116" formatCode="General">
                  <c:v>853.87030183430386</c:v>
                </c:pt>
                <c:pt idx="117" formatCode="General">
                  <c:v>1083.1727983645289</c:v>
                </c:pt>
                <c:pt idx="118" formatCode="General">
                  <c:v>11283.188116980462</c:v>
                </c:pt>
                <c:pt idx="120" formatCode="General">
                  <c:v>-1743.838013196631</c:v>
                </c:pt>
                <c:pt idx="121" formatCode="General">
                  <c:v>879.25596713144751</c:v>
                </c:pt>
                <c:pt idx="122" formatCode="General">
                  <c:v>1118.5281374238564</c:v>
                </c:pt>
                <c:pt idx="123" formatCode="General">
                  <c:v>11300.865786510125</c:v>
                </c:pt>
                <c:pt idx="125" formatCode="General">
                  <c:v>-1719.2178193713257</c:v>
                </c:pt>
                <c:pt idx="126" formatCode="General">
                  <c:v>904.64163242859115</c:v>
                </c:pt>
                <c:pt idx="127" formatCode="General">
                  <c:v>1153.8834764831838</c:v>
                </c:pt>
                <c:pt idx="128" formatCode="General">
                  <c:v>11318.543456039788</c:v>
                </c:pt>
                <c:pt idx="130" formatCode="General">
                  <c:v>-1694.5976255460205</c:v>
                </c:pt>
                <c:pt idx="131" formatCode="General">
                  <c:v>930.0272977257348</c:v>
                </c:pt>
                <c:pt idx="132" formatCode="General">
                  <c:v>1189.2388155425112</c:v>
                </c:pt>
                <c:pt idx="133" formatCode="General">
                  <c:v>11336.221125569451</c:v>
                </c:pt>
                <c:pt idx="135" formatCode="General">
                  <c:v>-1669.9774317207152</c:v>
                </c:pt>
                <c:pt idx="136" formatCode="General">
                  <c:v>955.41296302287844</c:v>
                </c:pt>
                <c:pt idx="137" formatCode="General">
                  <c:v>1224.5941546018387</c:v>
                </c:pt>
                <c:pt idx="138" formatCode="General">
                  <c:v>11353.898795099114</c:v>
                </c:pt>
                <c:pt idx="140" formatCode="General">
                  <c:v>-1645.35723789541</c:v>
                </c:pt>
                <c:pt idx="141" formatCode="General">
                  <c:v>980.79862832002209</c:v>
                </c:pt>
                <c:pt idx="142" formatCode="General">
                  <c:v>1259.9494936611661</c:v>
                </c:pt>
                <c:pt idx="143" formatCode="General">
                  <c:v>11371.576464628777</c:v>
                </c:pt>
                <c:pt idx="145" formatCode="General">
                  <c:v>-1620.7370440701047</c:v>
                </c:pt>
                <c:pt idx="146" formatCode="General">
                  <c:v>1006.1842936171657</c:v>
                </c:pt>
                <c:pt idx="147" formatCode="General">
                  <c:v>1295.3048327204936</c:v>
                </c:pt>
                <c:pt idx="148" formatCode="General">
                  <c:v>11389.25413415844</c:v>
                </c:pt>
                <c:pt idx="150" formatCode="General">
                  <c:v>-1596.1168502447995</c:v>
                </c:pt>
                <c:pt idx="151" formatCode="General">
                  <c:v>1031.5699589143094</c:v>
                </c:pt>
                <c:pt idx="152" formatCode="General">
                  <c:v>1330.660171779821</c:v>
                </c:pt>
                <c:pt idx="153" formatCode="General">
                  <c:v>11406.931803688103</c:v>
                </c:pt>
                <c:pt idx="155" formatCode="General">
                  <c:v>-1571.4966564194942</c:v>
                </c:pt>
                <c:pt idx="156" formatCode="General">
                  <c:v>1056.9556242114529</c:v>
                </c:pt>
                <c:pt idx="157" formatCode="General">
                  <c:v>1366.0155108391484</c:v>
                </c:pt>
                <c:pt idx="158" formatCode="General">
                  <c:v>11424.609473217766</c:v>
                </c:pt>
                <c:pt idx="160" formatCode="General">
                  <c:v>-1546.876462594189</c:v>
                </c:pt>
                <c:pt idx="161" formatCode="General">
                  <c:v>1082.3412895085964</c:v>
                </c:pt>
                <c:pt idx="162" formatCode="General">
                  <c:v>1401.3708498984759</c:v>
                </c:pt>
                <c:pt idx="163" formatCode="General">
                  <c:v>11442.287142747429</c:v>
                </c:pt>
                <c:pt idx="165" formatCode="General">
                  <c:v>-1522.2562687688837</c:v>
                </c:pt>
                <c:pt idx="166" formatCode="General">
                  <c:v>1107.72695480574</c:v>
                </c:pt>
                <c:pt idx="167" formatCode="General">
                  <c:v>1436.7261889578033</c:v>
                </c:pt>
                <c:pt idx="168" formatCode="General">
                  <c:v>11459.964812277092</c:v>
                </c:pt>
                <c:pt idx="170" formatCode="General">
                  <c:v>-1497.6360749435785</c:v>
                </c:pt>
                <c:pt idx="171" formatCode="General">
                  <c:v>1133.1126201028835</c:v>
                </c:pt>
                <c:pt idx="172" formatCode="General">
                  <c:v>1472.0815280171307</c:v>
                </c:pt>
                <c:pt idx="173" formatCode="General">
                  <c:v>11477.642481806755</c:v>
                </c:pt>
                <c:pt idx="175" formatCode="General">
                  <c:v>-1473.0158811182732</c:v>
                </c:pt>
                <c:pt idx="176" formatCode="General">
                  <c:v>1158.498285400027</c:v>
                </c:pt>
                <c:pt idx="177" formatCode="General">
                  <c:v>1507.4368670764582</c:v>
                </c:pt>
                <c:pt idx="178" formatCode="General">
                  <c:v>11495.320151336418</c:v>
                </c:pt>
                <c:pt idx="180" formatCode="General">
                  <c:v>-1448.395687292968</c:v>
                </c:pt>
                <c:pt idx="181" formatCode="General">
                  <c:v>1183.8839506971706</c:v>
                </c:pt>
                <c:pt idx="182" formatCode="General">
                  <c:v>1542.7922061357856</c:v>
                </c:pt>
                <c:pt idx="183" formatCode="General">
                  <c:v>11512.997820866081</c:v>
                </c:pt>
                <c:pt idx="185" formatCode="General">
                  <c:v>-1423.7754934676627</c:v>
                </c:pt>
                <c:pt idx="186" formatCode="General">
                  <c:v>1209.2696159943141</c:v>
                </c:pt>
                <c:pt idx="187" formatCode="General">
                  <c:v>1578.147545195113</c:v>
                </c:pt>
                <c:pt idx="188" formatCode="General">
                  <c:v>11530.675490395744</c:v>
                </c:pt>
                <c:pt idx="190" formatCode="General">
                  <c:v>-1399.1552996423575</c:v>
                </c:pt>
                <c:pt idx="191" formatCode="General">
                  <c:v>1234.6552812914576</c:v>
                </c:pt>
                <c:pt idx="192" formatCode="General">
                  <c:v>1613.5028842544405</c:v>
                </c:pt>
                <c:pt idx="193" formatCode="General">
                  <c:v>11548.353159925407</c:v>
                </c:pt>
                <c:pt idx="195" formatCode="General">
                  <c:v>-1374.5351058170522</c:v>
                </c:pt>
                <c:pt idx="196" formatCode="General">
                  <c:v>1260.0409465886012</c:v>
                </c:pt>
                <c:pt idx="197" formatCode="General">
                  <c:v>1648.8582233137679</c:v>
                </c:pt>
                <c:pt idx="198" formatCode="General">
                  <c:v>11566.03082945507</c:v>
                </c:pt>
                <c:pt idx="200" formatCode="General">
                  <c:v>-1349.914911991747</c:v>
                </c:pt>
                <c:pt idx="201" formatCode="General">
                  <c:v>1285.4266118857447</c:v>
                </c:pt>
                <c:pt idx="202" formatCode="General">
                  <c:v>1684.2135623730953</c:v>
                </c:pt>
                <c:pt idx="203" formatCode="General">
                  <c:v>11583.708498984734</c:v>
                </c:pt>
                <c:pt idx="205" formatCode="General">
                  <c:v>-1325.2947181664417</c:v>
                </c:pt>
                <c:pt idx="206" formatCode="General">
                  <c:v>1310.8122771828882</c:v>
                </c:pt>
                <c:pt idx="207" formatCode="General">
                  <c:v>1719.5689014324228</c:v>
                </c:pt>
                <c:pt idx="208" formatCode="General">
                  <c:v>11601.386168514397</c:v>
                </c:pt>
                <c:pt idx="210" formatCode="General">
                  <c:v>-1300.6745243411365</c:v>
                </c:pt>
                <c:pt idx="211" formatCode="General">
                  <c:v>1336.1979424800318</c:v>
                </c:pt>
                <c:pt idx="212" formatCode="General">
                  <c:v>1754.9242404917502</c:v>
                </c:pt>
                <c:pt idx="213" formatCode="General">
                  <c:v>11619.06383804406</c:v>
                </c:pt>
                <c:pt idx="215" formatCode="General">
                  <c:v>-1276.0543305158312</c:v>
                </c:pt>
                <c:pt idx="216" formatCode="General">
                  <c:v>1361.5836077771753</c:v>
                </c:pt>
                <c:pt idx="217" formatCode="General">
                  <c:v>1790.2795795510776</c:v>
                </c:pt>
                <c:pt idx="218" formatCode="General">
                  <c:v>11636.741507573723</c:v>
                </c:pt>
                <c:pt idx="220" formatCode="General">
                  <c:v>-1251.434136690526</c:v>
                </c:pt>
                <c:pt idx="221" formatCode="General">
                  <c:v>1386.9692730743188</c:v>
                </c:pt>
                <c:pt idx="222" formatCode="General">
                  <c:v>1825.6349186104051</c:v>
                </c:pt>
                <c:pt idx="223" formatCode="General">
                  <c:v>11654.419177103386</c:v>
                </c:pt>
                <c:pt idx="225" formatCode="General">
                  <c:v>-1226.8139428652207</c:v>
                </c:pt>
                <c:pt idx="226" formatCode="General">
                  <c:v>1412.3549383714624</c:v>
                </c:pt>
                <c:pt idx="227" formatCode="General">
                  <c:v>1860.9902576697325</c:v>
                </c:pt>
                <c:pt idx="228" formatCode="General">
                  <c:v>11672.096846633049</c:v>
                </c:pt>
                <c:pt idx="230" formatCode="General">
                  <c:v>-1202.1937490399155</c:v>
                </c:pt>
                <c:pt idx="231" formatCode="General">
                  <c:v>1437.7406036686059</c:v>
                </c:pt>
                <c:pt idx="232" formatCode="General">
                  <c:v>1896.3455967290599</c:v>
                </c:pt>
                <c:pt idx="233" formatCode="General">
                  <c:v>11689.774516162712</c:v>
                </c:pt>
                <c:pt idx="235" formatCode="General">
                  <c:v>-1177.5735552146102</c:v>
                </c:pt>
                <c:pt idx="236" formatCode="General">
                  <c:v>1463.1262689657494</c:v>
                </c:pt>
                <c:pt idx="237" formatCode="General">
                  <c:v>1931.7009357883874</c:v>
                </c:pt>
                <c:pt idx="238" formatCode="General">
                  <c:v>11707.452185692375</c:v>
                </c:pt>
                <c:pt idx="240" formatCode="General">
                  <c:v>-1152.953361389305</c:v>
                </c:pt>
                <c:pt idx="241" formatCode="General">
                  <c:v>1488.511934262893</c:v>
                </c:pt>
                <c:pt idx="242" formatCode="General">
                  <c:v>1967.0562748477148</c:v>
                </c:pt>
                <c:pt idx="243" formatCode="General">
                  <c:v>11725.129855222038</c:v>
                </c:pt>
                <c:pt idx="245" formatCode="General">
                  <c:v>-1128.3331675639997</c:v>
                </c:pt>
                <c:pt idx="246" formatCode="General">
                  <c:v>1513.8975995600365</c:v>
                </c:pt>
                <c:pt idx="247" formatCode="General">
                  <c:v>2002.4116139070422</c:v>
                </c:pt>
                <c:pt idx="248" formatCode="General">
                  <c:v>11742.807524751701</c:v>
                </c:pt>
                <c:pt idx="250" formatCode="General">
                  <c:v>-1103.7129737386945</c:v>
                </c:pt>
                <c:pt idx="251" formatCode="General">
                  <c:v>1539.28326485718</c:v>
                </c:pt>
                <c:pt idx="252" formatCode="General">
                  <c:v>2037.7669529663697</c:v>
                </c:pt>
                <c:pt idx="253" formatCode="General">
                  <c:v>11760.485194281364</c:v>
                </c:pt>
                <c:pt idx="255" formatCode="General">
                  <c:v>-1079.0927799133892</c:v>
                </c:pt>
                <c:pt idx="256" formatCode="General">
                  <c:v>1564.6689301543236</c:v>
                </c:pt>
                <c:pt idx="257" formatCode="General">
                  <c:v>2073.1222920256969</c:v>
                </c:pt>
                <c:pt idx="258" formatCode="General">
                  <c:v>11778.162863811027</c:v>
                </c:pt>
                <c:pt idx="260" formatCode="General">
                  <c:v>-1054.472586088084</c:v>
                </c:pt>
                <c:pt idx="261" formatCode="General">
                  <c:v>1590.0545954514671</c:v>
                </c:pt>
                <c:pt idx="262" formatCode="General">
                  <c:v>2108.4776310850243</c:v>
                </c:pt>
                <c:pt idx="263" formatCode="General">
                  <c:v>11795.84053334069</c:v>
                </c:pt>
                <c:pt idx="265" formatCode="General">
                  <c:v>-1029.8523922627787</c:v>
                </c:pt>
                <c:pt idx="266" formatCode="General">
                  <c:v>1615.4402607486106</c:v>
                </c:pt>
                <c:pt idx="267" formatCode="General">
                  <c:v>2143.8329701443517</c:v>
                </c:pt>
                <c:pt idx="268" formatCode="General">
                  <c:v>11813.518202870353</c:v>
                </c:pt>
                <c:pt idx="270" formatCode="General">
                  <c:v>-1005.2321984374735</c:v>
                </c:pt>
                <c:pt idx="271" formatCode="General">
                  <c:v>1640.8259260457542</c:v>
                </c:pt>
                <c:pt idx="272" formatCode="General">
                  <c:v>2179.1883092036792</c:v>
                </c:pt>
                <c:pt idx="273" formatCode="General">
                  <c:v>11831.195872400016</c:v>
                </c:pt>
                <c:pt idx="275" formatCode="General">
                  <c:v>-980.61200461216822</c:v>
                </c:pt>
                <c:pt idx="276" formatCode="General">
                  <c:v>1666.2115913428977</c:v>
                </c:pt>
                <c:pt idx="277" formatCode="General">
                  <c:v>2214.5436482630066</c:v>
                </c:pt>
                <c:pt idx="278" formatCode="General">
                  <c:v>11848.873541929679</c:v>
                </c:pt>
                <c:pt idx="280" formatCode="General">
                  <c:v>-955.99181078686297</c:v>
                </c:pt>
                <c:pt idx="281" formatCode="General">
                  <c:v>1691.5972566400412</c:v>
                </c:pt>
                <c:pt idx="282" formatCode="General">
                  <c:v>2249.8989873223341</c:v>
                </c:pt>
                <c:pt idx="283" formatCode="General">
                  <c:v>11866.551211459342</c:v>
                </c:pt>
                <c:pt idx="285" formatCode="General">
                  <c:v>-931.37161696155772</c:v>
                </c:pt>
                <c:pt idx="286" formatCode="General">
                  <c:v>1716.9829219371848</c:v>
                </c:pt>
                <c:pt idx="287" formatCode="General">
                  <c:v>2285.2543263816615</c:v>
                </c:pt>
                <c:pt idx="288" formatCode="General">
                  <c:v>11884.228880989005</c:v>
                </c:pt>
                <c:pt idx="290" formatCode="General">
                  <c:v>-906.75142313625247</c:v>
                </c:pt>
                <c:pt idx="291" formatCode="General">
                  <c:v>1742.3685872343283</c:v>
                </c:pt>
                <c:pt idx="292" formatCode="General">
                  <c:v>2320.6096654409889</c:v>
                </c:pt>
                <c:pt idx="293" formatCode="General">
                  <c:v>11901.906550518668</c:v>
                </c:pt>
                <c:pt idx="295" formatCode="General">
                  <c:v>-882.13122931094722</c:v>
                </c:pt>
                <c:pt idx="296" formatCode="General">
                  <c:v>1767.7542525314718</c:v>
                </c:pt>
                <c:pt idx="297" formatCode="General">
                  <c:v>2355.9650045003164</c:v>
                </c:pt>
                <c:pt idx="298" formatCode="General">
                  <c:v>11919.584220048331</c:v>
                </c:pt>
                <c:pt idx="300" formatCode="General">
                  <c:v>-857.51103548564197</c:v>
                </c:pt>
                <c:pt idx="301" formatCode="General">
                  <c:v>1793.1399178286154</c:v>
                </c:pt>
                <c:pt idx="302" formatCode="General">
                  <c:v>2391.3203435596438</c:v>
                </c:pt>
                <c:pt idx="303" formatCode="General">
                  <c:v>11937.261889577994</c:v>
                </c:pt>
                <c:pt idx="305" formatCode="General">
                  <c:v>-832.89084166033672</c:v>
                </c:pt>
                <c:pt idx="306" formatCode="General">
                  <c:v>1818.5255831257589</c:v>
                </c:pt>
                <c:pt idx="307" formatCode="General">
                  <c:v>2426.6756826189712</c:v>
                </c:pt>
                <c:pt idx="308" formatCode="General">
                  <c:v>11954.939559107657</c:v>
                </c:pt>
                <c:pt idx="310" formatCode="General">
                  <c:v>-808.27064783503147</c:v>
                </c:pt>
                <c:pt idx="311" formatCode="General">
                  <c:v>1843.9112484229024</c:v>
                </c:pt>
                <c:pt idx="312" formatCode="General">
                  <c:v>2462.0310216782987</c:v>
                </c:pt>
                <c:pt idx="313" formatCode="General">
                  <c:v>11972.61722863732</c:v>
                </c:pt>
                <c:pt idx="315" formatCode="General">
                  <c:v>-783.65045400972622</c:v>
                </c:pt>
                <c:pt idx="316" formatCode="General">
                  <c:v>1869.2969137200459</c:v>
                </c:pt>
                <c:pt idx="317" formatCode="General">
                  <c:v>2497.3863607376261</c:v>
                </c:pt>
                <c:pt idx="318" formatCode="General">
                  <c:v>11990.294898166983</c:v>
                </c:pt>
                <c:pt idx="320" formatCode="General">
                  <c:v>-759.03026018442097</c:v>
                </c:pt>
                <c:pt idx="321" formatCode="General">
                  <c:v>1894.6825790171895</c:v>
                </c:pt>
                <c:pt idx="322" formatCode="General">
                  <c:v>2532.7416997969535</c:v>
                </c:pt>
                <c:pt idx="323" formatCode="General">
                  <c:v>12007.972567696646</c:v>
                </c:pt>
                <c:pt idx="325" formatCode="General">
                  <c:v>-734.41006635911572</c:v>
                </c:pt>
                <c:pt idx="326" formatCode="General">
                  <c:v>1920.068244314333</c:v>
                </c:pt>
                <c:pt idx="327" formatCode="General">
                  <c:v>2568.097038856281</c:v>
                </c:pt>
                <c:pt idx="328" formatCode="General">
                  <c:v>12025.650237226309</c:v>
                </c:pt>
                <c:pt idx="330" formatCode="General">
                  <c:v>-709.78987253381047</c:v>
                </c:pt>
                <c:pt idx="331" formatCode="General">
                  <c:v>1945.4539096114765</c:v>
                </c:pt>
                <c:pt idx="332" formatCode="General">
                  <c:v>2603.4523779156084</c:v>
                </c:pt>
                <c:pt idx="333" formatCode="General">
                  <c:v>12043.327906755972</c:v>
                </c:pt>
                <c:pt idx="335" formatCode="General">
                  <c:v>-685.16967870850522</c:v>
                </c:pt>
                <c:pt idx="336" formatCode="General">
                  <c:v>1970.8395749086201</c:v>
                </c:pt>
                <c:pt idx="337" formatCode="General">
                  <c:v>2638.8077169749358</c:v>
                </c:pt>
                <c:pt idx="338" formatCode="General">
                  <c:v>12061.005576285635</c:v>
                </c:pt>
                <c:pt idx="340" formatCode="General">
                  <c:v>-660.54948488319997</c:v>
                </c:pt>
                <c:pt idx="341" formatCode="General">
                  <c:v>1996.2252402057636</c:v>
                </c:pt>
                <c:pt idx="342" formatCode="General">
                  <c:v>2674.1630560342633</c:v>
                </c:pt>
                <c:pt idx="343" formatCode="General">
                  <c:v>12078.683245815299</c:v>
                </c:pt>
                <c:pt idx="345" formatCode="General">
                  <c:v>-635.92929105789472</c:v>
                </c:pt>
                <c:pt idx="346" formatCode="General">
                  <c:v>2021.6109055029071</c:v>
                </c:pt>
                <c:pt idx="347" formatCode="General">
                  <c:v>2709.5183950935907</c:v>
                </c:pt>
                <c:pt idx="348" formatCode="General">
                  <c:v>12096.360915344962</c:v>
                </c:pt>
                <c:pt idx="350" formatCode="General">
                  <c:v>-611.30909723258947</c:v>
                </c:pt>
                <c:pt idx="351" formatCode="General">
                  <c:v>2046.9965708000507</c:v>
                </c:pt>
                <c:pt idx="352" formatCode="General">
                  <c:v>2744.8737341529181</c:v>
                </c:pt>
                <c:pt idx="353" formatCode="General">
                  <c:v>12114.038584874625</c:v>
                </c:pt>
                <c:pt idx="355" formatCode="General">
                  <c:v>-586.68890340728422</c:v>
                </c:pt>
                <c:pt idx="356" formatCode="General">
                  <c:v>2072.3822360971944</c:v>
                </c:pt>
                <c:pt idx="357" formatCode="General">
                  <c:v>2780.2290732122456</c:v>
                </c:pt>
                <c:pt idx="358" formatCode="General">
                  <c:v>12131.716254404288</c:v>
                </c:pt>
                <c:pt idx="360" formatCode="General">
                  <c:v>-562.06870958197896</c:v>
                </c:pt>
                <c:pt idx="361" formatCode="General">
                  <c:v>2097.767901394338</c:v>
                </c:pt>
                <c:pt idx="362" formatCode="General">
                  <c:v>2815.584412271573</c:v>
                </c:pt>
                <c:pt idx="363" formatCode="General">
                  <c:v>12149.393923933951</c:v>
                </c:pt>
                <c:pt idx="365" formatCode="General">
                  <c:v>-537.44851575667371</c:v>
                </c:pt>
                <c:pt idx="366" formatCode="General">
                  <c:v>2123.1535666914815</c:v>
                </c:pt>
                <c:pt idx="367" formatCode="General">
                  <c:v>2850.9397513309004</c:v>
                </c:pt>
                <c:pt idx="368" formatCode="General">
                  <c:v>12167.071593463614</c:v>
                </c:pt>
                <c:pt idx="370" formatCode="General">
                  <c:v>-512.82832193136846</c:v>
                </c:pt>
                <c:pt idx="371" formatCode="General">
                  <c:v>2148.539231988625</c:v>
                </c:pt>
                <c:pt idx="372" formatCode="General">
                  <c:v>2886.2950903902279</c:v>
                </c:pt>
                <c:pt idx="373" formatCode="General">
                  <c:v>12184.749262993277</c:v>
                </c:pt>
                <c:pt idx="375" formatCode="General">
                  <c:v>-488.20812810606327</c:v>
                </c:pt>
                <c:pt idx="376" formatCode="General">
                  <c:v>2173.9248972857686</c:v>
                </c:pt>
                <c:pt idx="377" formatCode="General">
                  <c:v>2921.6504294495553</c:v>
                </c:pt>
                <c:pt idx="378" formatCode="General">
                  <c:v>12202.42693252294</c:v>
                </c:pt>
                <c:pt idx="380" formatCode="General">
                  <c:v>-463.58793428075808</c:v>
                </c:pt>
                <c:pt idx="381" formatCode="General">
                  <c:v>2199.3105625829121</c:v>
                </c:pt>
                <c:pt idx="382" formatCode="General">
                  <c:v>2957.0057685088827</c:v>
                </c:pt>
                <c:pt idx="383" formatCode="General">
                  <c:v>12220.104602052603</c:v>
                </c:pt>
                <c:pt idx="385" formatCode="General">
                  <c:v>-438.96774045545288</c:v>
                </c:pt>
                <c:pt idx="386" formatCode="General">
                  <c:v>2224.6962278800556</c:v>
                </c:pt>
                <c:pt idx="387" formatCode="General">
                  <c:v>2992.3611075682102</c:v>
                </c:pt>
                <c:pt idx="388" formatCode="General">
                  <c:v>12237.782271582266</c:v>
                </c:pt>
                <c:pt idx="390" formatCode="General">
                  <c:v>-414.34754663014769</c:v>
                </c:pt>
                <c:pt idx="391" formatCode="General">
                  <c:v>2250.0818931771992</c:v>
                </c:pt>
                <c:pt idx="392" formatCode="General">
                  <c:v>3027.7164466275376</c:v>
                </c:pt>
                <c:pt idx="393" formatCode="General">
                  <c:v>12255.459941111929</c:v>
                </c:pt>
                <c:pt idx="395" formatCode="General">
                  <c:v>-389.7273528048425</c:v>
                </c:pt>
                <c:pt idx="396" formatCode="General">
                  <c:v>2275.4675584743427</c:v>
                </c:pt>
                <c:pt idx="397" formatCode="General">
                  <c:v>3063.071785686865</c:v>
                </c:pt>
                <c:pt idx="398" formatCode="General">
                  <c:v>12273.137610641592</c:v>
                </c:pt>
                <c:pt idx="400" formatCode="General">
                  <c:v>-365.1071589795373</c:v>
                </c:pt>
                <c:pt idx="401" formatCode="General">
                  <c:v>2300.8532237714862</c:v>
                </c:pt>
                <c:pt idx="402" formatCode="General">
                  <c:v>3098.4271247461925</c:v>
                </c:pt>
                <c:pt idx="403" formatCode="General">
                  <c:v>12290.815280171255</c:v>
                </c:pt>
              </c:numCache>
            </c:numRef>
          </c:xVal>
          <c:yVal>
            <c:numRef>
              <c:f>Vis!$AD$2:$AD$405</c:f>
              <c:numCache>
                <c:formatCode>0</c:formatCode>
                <c:ptCount val="404"/>
                <c:pt idx="0" formatCode="General">
                  <c:v>-14772.116295183121</c:v>
                </c:pt>
                <c:pt idx="1">
                  <c:v>-1.653950414126637E-14</c:v>
                </c:pt>
                <c:pt idx="2">
                  <c:v>-1.653950414126637E-14</c:v>
                </c:pt>
                <c:pt idx="3" formatCode="General">
                  <c:v>10606.601717798214</c:v>
                </c:pt>
                <c:pt idx="5">
                  <c:v>-14776.457499624794</c:v>
                </c:pt>
                <c:pt idx="6">
                  <c:v>-1.8094564572047516E-14</c:v>
                </c:pt>
                <c:pt idx="7">
                  <c:v>-1.8705281092331635E-14</c:v>
                </c:pt>
                <c:pt idx="8">
                  <c:v>10588.924048268551</c:v>
                </c:pt>
                <c:pt idx="10">
                  <c:v>-14780.798704066467</c:v>
                </c:pt>
                <c:pt idx="11">
                  <c:v>-1.9649625002828661E-14</c:v>
                </c:pt>
                <c:pt idx="12">
                  <c:v>-2.08710580433969E-14</c:v>
                </c:pt>
                <c:pt idx="13">
                  <c:v>10571.246378738888</c:v>
                </c:pt>
                <c:pt idx="15">
                  <c:v>-14785.139908508139</c:v>
                </c:pt>
                <c:pt idx="16">
                  <c:v>-2.1204685433609806E-14</c:v>
                </c:pt>
                <c:pt idx="17">
                  <c:v>-2.3036834994462166E-14</c:v>
                </c:pt>
                <c:pt idx="18">
                  <c:v>10553.568709209225</c:v>
                </c:pt>
                <c:pt idx="20">
                  <c:v>-14789.481112949812</c:v>
                </c:pt>
                <c:pt idx="21">
                  <c:v>-2.2759745864390952E-14</c:v>
                </c:pt>
                <c:pt idx="22">
                  <c:v>-2.5202611945527431E-14</c:v>
                </c:pt>
                <c:pt idx="23">
                  <c:v>10535.891039679562</c:v>
                </c:pt>
                <c:pt idx="25">
                  <c:v>-14793.822317391485</c:v>
                </c:pt>
                <c:pt idx="26">
                  <c:v>-2.4314806295172097E-14</c:v>
                </c:pt>
                <c:pt idx="27">
                  <c:v>-2.7368388896592696E-14</c:v>
                </c:pt>
                <c:pt idx="28">
                  <c:v>10518.213370149899</c:v>
                </c:pt>
                <c:pt idx="30">
                  <c:v>-14798.163521833158</c:v>
                </c:pt>
                <c:pt idx="31">
                  <c:v>-2.5869866725953243E-14</c:v>
                </c:pt>
                <c:pt idx="32">
                  <c:v>-2.9534165847657961E-14</c:v>
                </c:pt>
                <c:pt idx="33">
                  <c:v>10500.535700620236</c:v>
                </c:pt>
                <c:pt idx="35">
                  <c:v>-14802.50472627483</c:v>
                </c:pt>
                <c:pt idx="36">
                  <c:v>-2.7424927156734388E-14</c:v>
                </c:pt>
                <c:pt idx="37">
                  <c:v>-3.1699942798723229E-14</c:v>
                </c:pt>
                <c:pt idx="38">
                  <c:v>10482.858031090573</c:v>
                </c:pt>
                <c:pt idx="40">
                  <c:v>-14806.845930716503</c:v>
                </c:pt>
                <c:pt idx="41">
                  <c:v>-2.8979987587515534E-14</c:v>
                </c:pt>
                <c:pt idx="42">
                  <c:v>-3.3865719749788498E-14</c:v>
                </c:pt>
                <c:pt idx="43">
                  <c:v>10465.18036156091</c:v>
                </c:pt>
                <c:pt idx="45">
                  <c:v>-14811.187135158176</c:v>
                </c:pt>
                <c:pt idx="46">
                  <c:v>-3.0535048018296679E-14</c:v>
                </c:pt>
                <c:pt idx="47">
                  <c:v>-3.6031496700853766E-14</c:v>
                </c:pt>
                <c:pt idx="48">
                  <c:v>10447.502692031247</c:v>
                </c:pt>
                <c:pt idx="50">
                  <c:v>-14815.528339599849</c:v>
                </c:pt>
                <c:pt idx="51">
                  <c:v>-3.2090108449077825E-14</c:v>
                </c:pt>
                <c:pt idx="52">
                  <c:v>-3.8197273651919034E-14</c:v>
                </c:pt>
                <c:pt idx="53">
                  <c:v>10429.825022501584</c:v>
                </c:pt>
                <c:pt idx="55">
                  <c:v>-14819.869544041521</c:v>
                </c:pt>
                <c:pt idx="56">
                  <c:v>-3.364516887985897E-14</c:v>
                </c:pt>
                <c:pt idx="57">
                  <c:v>-4.0363050602984303E-14</c:v>
                </c:pt>
                <c:pt idx="58">
                  <c:v>10412.147352971921</c:v>
                </c:pt>
                <c:pt idx="60">
                  <c:v>-14824.210748483194</c:v>
                </c:pt>
                <c:pt idx="61">
                  <c:v>-3.5200229310640115E-14</c:v>
                </c:pt>
                <c:pt idx="62">
                  <c:v>-4.2528827554049571E-14</c:v>
                </c:pt>
                <c:pt idx="63">
                  <c:v>10394.469683442258</c:v>
                </c:pt>
                <c:pt idx="65">
                  <c:v>-14828.551952924867</c:v>
                </c:pt>
                <c:pt idx="66">
                  <c:v>-3.6755289741421261E-14</c:v>
                </c:pt>
                <c:pt idx="67">
                  <c:v>-4.4694604505114839E-14</c:v>
                </c:pt>
                <c:pt idx="68">
                  <c:v>10376.792013912594</c:v>
                </c:pt>
                <c:pt idx="70">
                  <c:v>-14832.89315736654</c:v>
                </c:pt>
                <c:pt idx="71">
                  <c:v>-3.8310350172202406E-14</c:v>
                </c:pt>
                <c:pt idx="72">
                  <c:v>-4.6860381456180108E-14</c:v>
                </c:pt>
                <c:pt idx="73">
                  <c:v>10359.114344382931</c:v>
                </c:pt>
                <c:pt idx="75">
                  <c:v>-14837.234361808212</c:v>
                </c:pt>
                <c:pt idx="76">
                  <c:v>-3.9865410602983552E-14</c:v>
                </c:pt>
                <c:pt idx="77">
                  <c:v>-4.9026158407245376E-14</c:v>
                </c:pt>
                <c:pt idx="78">
                  <c:v>10341.436674853268</c:v>
                </c:pt>
                <c:pt idx="80">
                  <c:v>-14841.575566249885</c:v>
                </c:pt>
                <c:pt idx="81">
                  <c:v>-4.1420471033764697E-14</c:v>
                </c:pt>
                <c:pt idx="82">
                  <c:v>-5.1191935358310644E-14</c:v>
                </c:pt>
                <c:pt idx="83">
                  <c:v>10323.759005323605</c:v>
                </c:pt>
                <c:pt idx="85">
                  <c:v>-14845.916770691558</c:v>
                </c:pt>
                <c:pt idx="86">
                  <c:v>-4.2975531464545843E-14</c:v>
                </c:pt>
                <c:pt idx="87">
                  <c:v>-5.3357712309375913E-14</c:v>
                </c:pt>
                <c:pt idx="88">
                  <c:v>10306.081335793942</c:v>
                </c:pt>
                <c:pt idx="90">
                  <c:v>-14850.257975133231</c:v>
                </c:pt>
                <c:pt idx="91">
                  <c:v>-4.4530591895326988E-14</c:v>
                </c:pt>
                <c:pt idx="92">
                  <c:v>-5.5523489260441181E-14</c:v>
                </c:pt>
                <c:pt idx="93">
                  <c:v>10288.403666264279</c:v>
                </c:pt>
                <c:pt idx="95">
                  <c:v>-14854.599179574903</c:v>
                </c:pt>
                <c:pt idx="96">
                  <c:v>-4.6085652326108134E-14</c:v>
                </c:pt>
                <c:pt idx="97">
                  <c:v>-5.7689266211506443E-14</c:v>
                </c:pt>
                <c:pt idx="98">
                  <c:v>10270.725996734616</c:v>
                </c:pt>
                <c:pt idx="100">
                  <c:v>-14858.940384016576</c:v>
                </c:pt>
                <c:pt idx="101">
                  <c:v>-4.7640712756889279E-14</c:v>
                </c:pt>
                <c:pt idx="102">
                  <c:v>-5.9855043162571711E-14</c:v>
                </c:pt>
                <c:pt idx="103">
                  <c:v>10253.048327204953</c:v>
                </c:pt>
                <c:pt idx="105">
                  <c:v>-14863.281588458249</c:v>
                </c:pt>
                <c:pt idx="106">
                  <c:v>-4.9195773187670424E-14</c:v>
                </c:pt>
                <c:pt idx="107">
                  <c:v>-6.202082011363698E-14</c:v>
                </c:pt>
                <c:pt idx="108">
                  <c:v>10235.37065767529</c:v>
                </c:pt>
                <c:pt idx="110">
                  <c:v>-14867.622792899921</c:v>
                </c:pt>
                <c:pt idx="111">
                  <c:v>-5.075083361845157E-14</c:v>
                </c:pt>
                <c:pt idx="112">
                  <c:v>-6.4186597064702248E-14</c:v>
                </c:pt>
                <c:pt idx="113">
                  <c:v>10217.692988145627</c:v>
                </c:pt>
                <c:pt idx="115">
                  <c:v>-14871.963997341594</c:v>
                </c:pt>
                <c:pt idx="116">
                  <c:v>-5.2305894049232715E-14</c:v>
                </c:pt>
                <c:pt idx="117">
                  <c:v>-6.6352374015767516E-14</c:v>
                </c:pt>
                <c:pt idx="118">
                  <c:v>10200.015318615964</c:v>
                </c:pt>
                <c:pt idx="120">
                  <c:v>-14876.305201783267</c:v>
                </c:pt>
                <c:pt idx="121">
                  <c:v>-5.3860954480013861E-14</c:v>
                </c:pt>
                <c:pt idx="122">
                  <c:v>-6.8518150966832785E-14</c:v>
                </c:pt>
                <c:pt idx="123">
                  <c:v>10182.337649086301</c:v>
                </c:pt>
                <c:pt idx="125">
                  <c:v>-14880.64640622494</c:v>
                </c:pt>
                <c:pt idx="126">
                  <c:v>-5.5416014910795006E-14</c:v>
                </c:pt>
                <c:pt idx="127">
                  <c:v>-7.0683927917898053E-14</c:v>
                </c:pt>
                <c:pt idx="128">
                  <c:v>10164.659979556638</c:v>
                </c:pt>
                <c:pt idx="130">
                  <c:v>-14884.987610666612</c:v>
                </c:pt>
                <c:pt idx="131">
                  <c:v>-5.6971075341576152E-14</c:v>
                </c:pt>
                <c:pt idx="132">
                  <c:v>-7.2849704868963321E-14</c:v>
                </c:pt>
                <c:pt idx="133">
                  <c:v>10146.982310026975</c:v>
                </c:pt>
                <c:pt idx="135">
                  <c:v>-14889.328815108285</c:v>
                </c:pt>
                <c:pt idx="136">
                  <c:v>-5.8526135772357291E-14</c:v>
                </c:pt>
                <c:pt idx="137">
                  <c:v>-7.5015481820028589E-14</c:v>
                </c:pt>
                <c:pt idx="138">
                  <c:v>10129.304640497312</c:v>
                </c:pt>
                <c:pt idx="140">
                  <c:v>-14893.670019549958</c:v>
                </c:pt>
                <c:pt idx="141">
                  <c:v>-6.008119620313843E-14</c:v>
                </c:pt>
                <c:pt idx="142">
                  <c:v>-7.7181258771093858E-14</c:v>
                </c:pt>
                <c:pt idx="143">
                  <c:v>10111.626970967649</c:v>
                </c:pt>
                <c:pt idx="145">
                  <c:v>-14898.011223991631</c:v>
                </c:pt>
                <c:pt idx="146">
                  <c:v>-6.1636256633919569E-14</c:v>
                </c:pt>
                <c:pt idx="147">
                  <c:v>-7.9347035722159126E-14</c:v>
                </c:pt>
                <c:pt idx="148">
                  <c:v>10093.949301437986</c:v>
                </c:pt>
                <c:pt idx="150">
                  <c:v>-14902.352428433303</c:v>
                </c:pt>
                <c:pt idx="151">
                  <c:v>-6.3191317064700708E-14</c:v>
                </c:pt>
                <c:pt idx="152">
                  <c:v>-8.1512812673224394E-14</c:v>
                </c:pt>
                <c:pt idx="153">
                  <c:v>10076.271631908323</c:v>
                </c:pt>
                <c:pt idx="155">
                  <c:v>-14906.693632874976</c:v>
                </c:pt>
                <c:pt idx="156">
                  <c:v>-6.4746377495481847E-14</c:v>
                </c:pt>
                <c:pt idx="157">
                  <c:v>-8.3678589624289663E-14</c:v>
                </c:pt>
                <c:pt idx="158">
                  <c:v>10058.59396237866</c:v>
                </c:pt>
                <c:pt idx="160">
                  <c:v>-14911.034837316649</c:v>
                </c:pt>
                <c:pt idx="161">
                  <c:v>-6.6301437926262986E-14</c:v>
                </c:pt>
                <c:pt idx="162">
                  <c:v>-8.5844366575354931E-14</c:v>
                </c:pt>
                <c:pt idx="163">
                  <c:v>10040.916292848997</c:v>
                </c:pt>
                <c:pt idx="165">
                  <c:v>-14915.376041758322</c:v>
                </c:pt>
                <c:pt idx="166">
                  <c:v>-6.7856498357044126E-14</c:v>
                </c:pt>
                <c:pt idx="167">
                  <c:v>-8.8010143526420199E-14</c:v>
                </c:pt>
                <c:pt idx="168">
                  <c:v>10023.238623319334</c:v>
                </c:pt>
                <c:pt idx="170">
                  <c:v>-14919.717246199994</c:v>
                </c:pt>
                <c:pt idx="171">
                  <c:v>-6.9411558787825265E-14</c:v>
                </c:pt>
                <c:pt idx="172">
                  <c:v>-9.0175920477485468E-14</c:v>
                </c:pt>
                <c:pt idx="173">
                  <c:v>10005.560953789671</c:v>
                </c:pt>
                <c:pt idx="175">
                  <c:v>-14924.058450641667</c:v>
                </c:pt>
                <c:pt idx="176">
                  <c:v>-7.0966619218606404E-14</c:v>
                </c:pt>
                <c:pt idx="177">
                  <c:v>-9.2341697428550736E-14</c:v>
                </c:pt>
                <c:pt idx="178">
                  <c:v>9987.8832842600077</c:v>
                </c:pt>
                <c:pt idx="180">
                  <c:v>-14928.39965508334</c:v>
                </c:pt>
                <c:pt idx="181">
                  <c:v>-7.2521679649387543E-14</c:v>
                </c:pt>
                <c:pt idx="182">
                  <c:v>-9.4507474379616004E-14</c:v>
                </c:pt>
                <c:pt idx="183">
                  <c:v>9970.2056147303447</c:v>
                </c:pt>
                <c:pt idx="185">
                  <c:v>-14932.740859525013</c:v>
                </c:pt>
                <c:pt idx="186">
                  <c:v>-7.4076740080168682E-14</c:v>
                </c:pt>
                <c:pt idx="187">
                  <c:v>-9.6673251330681273E-14</c:v>
                </c:pt>
                <c:pt idx="188">
                  <c:v>9952.5279452006816</c:v>
                </c:pt>
                <c:pt idx="190">
                  <c:v>-14937.082063966685</c:v>
                </c:pt>
                <c:pt idx="191">
                  <c:v>-7.5631800510949821E-14</c:v>
                </c:pt>
                <c:pt idx="192">
                  <c:v>-9.8839028281746541E-14</c:v>
                </c:pt>
                <c:pt idx="193">
                  <c:v>9934.8502756710186</c:v>
                </c:pt>
                <c:pt idx="195">
                  <c:v>-14941.423268408358</c:v>
                </c:pt>
                <c:pt idx="196">
                  <c:v>-7.718686094173096E-14</c:v>
                </c:pt>
                <c:pt idx="197">
                  <c:v>-1.0100480523281181E-13</c:v>
                </c:pt>
                <c:pt idx="198">
                  <c:v>9917.1726061413556</c:v>
                </c:pt>
                <c:pt idx="200">
                  <c:v>-14945.764472850031</c:v>
                </c:pt>
                <c:pt idx="201">
                  <c:v>-7.8741921372512099E-14</c:v>
                </c:pt>
                <c:pt idx="202">
                  <c:v>-1.0317058218387708E-13</c:v>
                </c:pt>
                <c:pt idx="203">
                  <c:v>9899.4949366116925</c:v>
                </c:pt>
                <c:pt idx="205">
                  <c:v>-14950.105677291704</c:v>
                </c:pt>
                <c:pt idx="206">
                  <c:v>-8.0296981803293239E-14</c:v>
                </c:pt>
                <c:pt idx="207">
                  <c:v>-1.0533635913494235E-13</c:v>
                </c:pt>
                <c:pt idx="208">
                  <c:v>9881.8172670820295</c:v>
                </c:pt>
                <c:pt idx="210">
                  <c:v>-14954.446881733376</c:v>
                </c:pt>
                <c:pt idx="211">
                  <c:v>-8.1852042234074378E-14</c:v>
                </c:pt>
                <c:pt idx="212">
                  <c:v>-1.0750213608600761E-13</c:v>
                </c:pt>
                <c:pt idx="213">
                  <c:v>9864.1395975523665</c:v>
                </c:pt>
                <c:pt idx="215">
                  <c:v>-14958.788086175049</c:v>
                </c:pt>
                <c:pt idx="216">
                  <c:v>-8.3407102664855517E-14</c:v>
                </c:pt>
                <c:pt idx="217">
                  <c:v>-1.0966791303707288E-13</c:v>
                </c:pt>
                <c:pt idx="218">
                  <c:v>9846.4619280227034</c:v>
                </c:pt>
                <c:pt idx="220">
                  <c:v>-14963.129290616722</c:v>
                </c:pt>
                <c:pt idx="221">
                  <c:v>-8.4962163095636656E-14</c:v>
                </c:pt>
                <c:pt idx="222">
                  <c:v>-1.1183368998813815E-13</c:v>
                </c:pt>
                <c:pt idx="223">
                  <c:v>9828.7842584930404</c:v>
                </c:pt>
                <c:pt idx="225">
                  <c:v>-14967.470495058395</c:v>
                </c:pt>
                <c:pt idx="226">
                  <c:v>-8.6517223526417795E-14</c:v>
                </c:pt>
                <c:pt idx="227">
                  <c:v>-1.1399946693920341E-13</c:v>
                </c:pt>
                <c:pt idx="228">
                  <c:v>9811.1065889633774</c:v>
                </c:pt>
                <c:pt idx="230">
                  <c:v>-14971.811699500067</c:v>
                </c:pt>
                <c:pt idx="231">
                  <c:v>-8.8072283957198934E-14</c:v>
                </c:pt>
                <c:pt idx="232">
                  <c:v>-1.1616524389026866E-13</c:v>
                </c:pt>
                <c:pt idx="233">
                  <c:v>9793.4289194337143</c:v>
                </c:pt>
                <c:pt idx="235">
                  <c:v>-14976.15290394174</c:v>
                </c:pt>
                <c:pt idx="236">
                  <c:v>-8.9627344387980073E-14</c:v>
                </c:pt>
                <c:pt idx="237">
                  <c:v>-1.1833102084133392E-13</c:v>
                </c:pt>
                <c:pt idx="238">
                  <c:v>9775.7512499040513</c:v>
                </c:pt>
                <c:pt idx="240">
                  <c:v>-14980.494108383413</c:v>
                </c:pt>
                <c:pt idx="241">
                  <c:v>-9.1182404818761213E-14</c:v>
                </c:pt>
                <c:pt idx="242">
                  <c:v>-1.2049679779239917E-13</c:v>
                </c:pt>
                <c:pt idx="243">
                  <c:v>9758.0735803743883</c:v>
                </c:pt>
                <c:pt idx="245">
                  <c:v>-14984.835312825086</c:v>
                </c:pt>
                <c:pt idx="246">
                  <c:v>-9.2737465249542352E-14</c:v>
                </c:pt>
                <c:pt idx="247">
                  <c:v>-1.2266257474346443E-13</c:v>
                </c:pt>
                <c:pt idx="248">
                  <c:v>9740.3959108447252</c:v>
                </c:pt>
                <c:pt idx="250">
                  <c:v>-14989.176517266758</c:v>
                </c:pt>
                <c:pt idx="251">
                  <c:v>-9.4292525680323491E-14</c:v>
                </c:pt>
                <c:pt idx="252">
                  <c:v>-1.2482835169452969E-13</c:v>
                </c:pt>
                <c:pt idx="253">
                  <c:v>9722.7182413150622</c:v>
                </c:pt>
                <c:pt idx="255">
                  <c:v>-14993.517721708431</c:v>
                </c:pt>
                <c:pt idx="256">
                  <c:v>-9.584758611110463E-14</c:v>
                </c:pt>
                <c:pt idx="257">
                  <c:v>-1.2699412864559494E-13</c:v>
                </c:pt>
                <c:pt idx="258">
                  <c:v>9705.0405717853992</c:v>
                </c:pt>
                <c:pt idx="260">
                  <c:v>-14997.858926150104</c:v>
                </c:pt>
                <c:pt idx="261">
                  <c:v>-9.7402646541885769E-14</c:v>
                </c:pt>
                <c:pt idx="262">
                  <c:v>-1.291599055966602E-13</c:v>
                </c:pt>
                <c:pt idx="263">
                  <c:v>9687.3629022557361</c:v>
                </c:pt>
                <c:pt idx="265">
                  <c:v>-15002.200130591777</c:v>
                </c:pt>
                <c:pt idx="266">
                  <c:v>-9.8957706972666908E-14</c:v>
                </c:pt>
                <c:pt idx="267">
                  <c:v>-1.3132568254772545E-13</c:v>
                </c:pt>
                <c:pt idx="268">
                  <c:v>9669.6852327260731</c:v>
                </c:pt>
                <c:pt idx="270">
                  <c:v>-15006.541335033449</c:v>
                </c:pt>
                <c:pt idx="271">
                  <c:v>-1.0051276740344805E-13</c:v>
                </c:pt>
                <c:pt idx="272">
                  <c:v>-1.3349145949879071E-13</c:v>
                </c:pt>
                <c:pt idx="273">
                  <c:v>9652.00756319641</c:v>
                </c:pt>
                <c:pt idx="275">
                  <c:v>-15010.882539475122</c:v>
                </c:pt>
                <c:pt idx="276">
                  <c:v>-1.0206782783422919E-13</c:v>
                </c:pt>
                <c:pt idx="277">
                  <c:v>-1.3565723644985596E-13</c:v>
                </c:pt>
                <c:pt idx="278">
                  <c:v>9634.329893666747</c:v>
                </c:pt>
                <c:pt idx="280">
                  <c:v>-15015.223743916795</c:v>
                </c:pt>
                <c:pt idx="281">
                  <c:v>-1.0362288826501033E-13</c:v>
                </c:pt>
                <c:pt idx="282">
                  <c:v>-1.3782301340092122E-13</c:v>
                </c:pt>
                <c:pt idx="283">
                  <c:v>9616.652224137084</c:v>
                </c:pt>
                <c:pt idx="285">
                  <c:v>-15019.564948358468</c:v>
                </c:pt>
                <c:pt idx="286">
                  <c:v>-1.0517794869579146E-13</c:v>
                </c:pt>
                <c:pt idx="287">
                  <c:v>-1.3998879035198647E-13</c:v>
                </c:pt>
                <c:pt idx="288">
                  <c:v>9598.9745546074209</c:v>
                </c:pt>
                <c:pt idx="290">
                  <c:v>-15023.90615280014</c:v>
                </c:pt>
                <c:pt idx="291">
                  <c:v>-1.067330091265726E-13</c:v>
                </c:pt>
                <c:pt idx="292">
                  <c:v>-1.4215456730305173E-13</c:v>
                </c:pt>
                <c:pt idx="293">
                  <c:v>9581.2968850777579</c:v>
                </c:pt>
                <c:pt idx="295">
                  <c:v>-15028.247357241813</c:v>
                </c:pt>
                <c:pt idx="296">
                  <c:v>-1.0828806955735374E-13</c:v>
                </c:pt>
                <c:pt idx="297">
                  <c:v>-1.4432034425411699E-13</c:v>
                </c:pt>
                <c:pt idx="298">
                  <c:v>9563.6192155480949</c:v>
                </c:pt>
                <c:pt idx="300">
                  <c:v>-15032.588561683486</c:v>
                </c:pt>
                <c:pt idx="301">
                  <c:v>-1.0984312998813488E-13</c:v>
                </c:pt>
                <c:pt idx="302">
                  <c:v>-1.4648612120518224E-13</c:v>
                </c:pt>
                <c:pt idx="303">
                  <c:v>9545.9415460184318</c:v>
                </c:pt>
                <c:pt idx="305">
                  <c:v>-15036.929766125158</c:v>
                </c:pt>
                <c:pt idx="306">
                  <c:v>-1.1139819041891602E-13</c:v>
                </c:pt>
                <c:pt idx="307">
                  <c:v>-1.486518981562475E-13</c:v>
                </c:pt>
                <c:pt idx="308">
                  <c:v>9528.2638764887688</c:v>
                </c:pt>
                <c:pt idx="310">
                  <c:v>-15041.270970566831</c:v>
                </c:pt>
                <c:pt idx="311">
                  <c:v>-1.1295325084969716E-13</c:v>
                </c:pt>
                <c:pt idx="312">
                  <c:v>-1.5081767510731275E-13</c:v>
                </c:pt>
                <c:pt idx="313">
                  <c:v>9510.5862069591058</c:v>
                </c:pt>
                <c:pt idx="315">
                  <c:v>-15045.612175008504</c:v>
                </c:pt>
                <c:pt idx="316">
                  <c:v>-1.1450831128047831E-13</c:v>
                </c:pt>
                <c:pt idx="317">
                  <c:v>-1.5298345205837801E-13</c:v>
                </c:pt>
                <c:pt idx="318">
                  <c:v>9492.9085374294427</c:v>
                </c:pt>
                <c:pt idx="320">
                  <c:v>-15049.953379450177</c:v>
                </c:pt>
                <c:pt idx="321">
                  <c:v>-1.1606337171125945E-13</c:v>
                </c:pt>
                <c:pt idx="322">
                  <c:v>-1.5514922900944326E-13</c:v>
                </c:pt>
                <c:pt idx="323">
                  <c:v>9475.2308678997797</c:v>
                </c:pt>
                <c:pt idx="325">
                  <c:v>-15054.294583891849</c:v>
                </c:pt>
                <c:pt idx="326">
                  <c:v>-1.1761843214204059E-13</c:v>
                </c:pt>
                <c:pt idx="327">
                  <c:v>-1.5731500596050852E-13</c:v>
                </c:pt>
                <c:pt idx="328">
                  <c:v>9457.5531983701167</c:v>
                </c:pt>
                <c:pt idx="330">
                  <c:v>-15058.635788333522</c:v>
                </c:pt>
                <c:pt idx="331">
                  <c:v>-1.1917349257282173E-13</c:v>
                </c:pt>
                <c:pt idx="332">
                  <c:v>-1.5948078291157378E-13</c:v>
                </c:pt>
                <c:pt idx="333">
                  <c:v>9439.8755288404536</c:v>
                </c:pt>
                <c:pt idx="335">
                  <c:v>-15062.976992775195</c:v>
                </c:pt>
                <c:pt idx="336">
                  <c:v>-1.2072855300360287E-13</c:v>
                </c:pt>
                <c:pt idx="337">
                  <c:v>-1.6164655986263903E-13</c:v>
                </c:pt>
                <c:pt idx="338">
                  <c:v>9422.1978593107906</c:v>
                </c:pt>
                <c:pt idx="340">
                  <c:v>-15067.318197216868</c:v>
                </c:pt>
                <c:pt idx="341">
                  <c:v>-1.2228361343438401E-13</c:v>
                </c:pt>
                <c:pt idx="342">
                  <c:v>-1.6381233681370429E-13</c:v>
                </c:pt>
                <c:pt idx="343">
                  <c:v>9404.5201897811276</c:v>
                </c:pt>
                <c:pt idx="345">
                  <c:v>-15071.65940165854</c:v>
                </c:pt>
                <c:pt idx="346">
                  <c:v>-1.2383867386516515E-13</c:v>
                </c:pt>
                <c:pt idx="347">
                  <c:v>-1.6597811376476954E-13</c:v>
                </c:pt>
                <c:pt idx="348">
                  <c:v>9386.8425202514645</c:v>
                </c:pt>
                <c:pt idx="350">
                  <c:v>-15076.000606100213</c:v>
                </c:pt>
                <c:pt idx="351">
                  <c:v>-1.2539373429594629E-13</c:v>
                </c:pt>
                <c:pt idx="352">
                  <c:v>-1.681438907158348E-13</c:v>
                </c:pt>
                <c:pt idx="353">
                  <c:v>9369.1648507218015</c:v>
                </c:pt>
                <c:pt idx="355">
                  <c:v>-15080.341810541886</c:v>
                </c:pt>
                <c:pt idx="356">
                  <c:v>-1.2694879472672743E-13</c:v>
                </c:pt>
                <c:pt idx="357">
                  <c:v>-1.7030966766690005E-13</c:v>
                </c:pt>
                <c:pt idx="358">
                  <c:v>9351.4871811921385</c:v>
                </c:pt>
                <c:pt idx="360">
                  <c:v>-15084.683014983559</c:v>
                </c:pt>
                <c:pt idx="361">
                  <c:v>-1.2850385515750856E-13</c:v>
                </c:pt>
                <c:pt idx="362">
                  <c:v>-1.7247544461796531E-13</c:v>
                </c:pt>
                <c:pt idx="363">
                  <c:v>9333.8095116624754</c:v>
                </c:pt>
                <c:pt idx="365">
                  <c:v>-15089.024219425231</c:v>
                </c:pt>
                <c:pt idx="366">
                  <c:v>-1.300589155882897E-13</c:v>
                </c:pt>
                <c:pt idx="367">
                  <c:v>-1.7464122156903057E-13</c:v>
                </c:pt>
                <c:pt idx="368">
                  <c:v>9316.1318421328124</c:v>
                </c:pt>
                <c:pt idx="370">
                  <c:v>-15093.365423866904</c:v>
                </c:pt>
                <c:pt idx="371">
                  <c:v>-1.3161397601907084E-13</c:v>
                </c:pt>
                <c:pt idx="372">
                  <c:v>-1.7680699852009582E-13</c:v>
                </c:pt>
                <c:pt idx="373">
                  <c:v>9298.4541726031493</c:v>
                </c:pt>
                <c:pt idx="375">
                  <c:v>-15097.706628308577</c:v>
                </c:pt>
                <c:pt idx="376">
                  <c:v>-1.3316903644985198E-13</c:v>
                </c:pt>
                <c:pt idx="377">
                  <c:v>-1.7897277547116108E-13</c:v>
                </c:pt>
                <c:pt idx="378">
                  <c:v>9280.7765030734863</c:v>
                </c:pt>
                <c:pt idx="380">
                  <c:v>-15102.04783275025</c:v>
                </c:pt>
                <c:pt idx="381">
                  <c:v>-1.3472409688063312E-13</c:v>
                </c:pt>
                <c:pt idx="382">
                  <c:v>-1.8113855242222633E-13</c:v>
                </c:pt>
                <c:pt idx="383">
                  <c:v>9263.0988335438233</c:v>
                </c:pt>
                <c:pt idx="385">
                  <c:v>-15106.389037191922</c:v>
                </c:pt>
                <c:pt idx="386">
                  <c:v>-1.3627915731141426E-13</c:v>
                </c:pt>
                <c:pt idx="387">
                  <c:v>-1.8330432937329159E-13</c:v>
                </c:pt>
                <c:pt idx="388">
                  <c:v>9245.4211640141602</c:v>
                </c:pt>
                <c:pt idx="390">
                  <c:v>-15110.730241633595</c:v>
                </c:pt>
                <c:pt idx="391">
                  <c:v>-1.378342177421954E-13</c:v>
                </c:pt>
                <c:pt idx="392">
                  <c:v>-1.8547010632435684E-13</c:v>
                </c:pt>
                <c:pt idx="393">
                  <c:v>9227.7434944844972</c:v>
                </c:pt>
                <c:pt idx="395">
                  <c:v>-15115.071446075268</c:v>
                </c:pt>
                <c:pt idx="396">
                  <c:v>-1.3938927817297654E-13</c:v>
                </c:pt>
                <c:pt idx="397">
                  <c:v>-1.876358832754221E-13</c:v>
                </c:pt>
                <c:pt idx="398">
                  <c:v>9210.0658249548342</c:v>
                </c:pt>
                <c:pt idx="400">
                  <c:v>-15119.412650516941</c:v>
                </c:pt>
                <c:pt idx="401">
                  <c:v>-1.4094433860375768E-13</c:v>
                </c:pt>
                <c:pt idx="402">
                  <c:v>-1.8980166022648736E-13</c:v>
                </c:pt>
                <c:pt idx="403">
                  <c:v>9192.3881554251711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A2-4DF4-B2D6-F793F90E9461}"/>
            </c:ext>
          </c:extLst>
        </c:ser>
        <c:ser>
          <c:idx val="4"/>
          <c:order val="1"/>
          <c:tx>
            <c:strRef>
              <c:f>Vis!$B$32</c:f>
              <c:strCache>
                <c:ptCount val="1"/>
                <c:pt idx="0">
                  <c:v>Hs1=1.5m</c:v>
                </c:pt>
              </c:strCache>
            </c:strRef>
          </c:tx>
          <c:marker>
            <c:symbol val="none"/>
          </c:marker>
          <c:xVal>
            <c:numRef>
              <c:f>Vis!$A$33:$A$45</c:f>
              <c:numCache>
                <c:formatCode>0</c:formatCode>
                <c:ptCount val="13"/>
                <c:pt idx="0">
                  <c:v>-871.41421356237311</c:v>
                </c:pt>
                <c:pt idx="1">
                  <c:v>-881.31370849898474</c:v>
                </c:pt>
                <c:pt idx="2">
                  <c:v>-894.04163056034258</c:v>
                </c:pt>
                <c:pt idx="3">
                  <c:v>-892.62741699796948</c:v>
                </c:pt>
                <c:pt idx="4">
                  <c:v>-888.38477631085027</c:v>
                </c:pt>
                <c:pt idx="5">
                  <c:v>-884.14213562373095</c:v>
                </c:pt>
                <c:pt idx="6">
                  <c:v>-882.72792206135784</c:v>
                </c:pt>
                <c:pt idx="7">
                  <c:v>-895.45584412271569</c:v>
                </c:pt>
                <c:pt idx="8">
                  <c:v>-905.35533905932743</c:v>
                </c:pt>
                <c:pt idx="9">
                  <c:v>-834.64466094067257</c:v>
                </c:pt>
                <c:pt idx="10">
                  <c:v>-862.92893218813447</c:v>
                </c:pt>
                <c:pt idx="11">
                  <c:v>-834.64466094067257</c:v>
                </c:pt>
                <c:pt idx="12">
                  <c:v>-834.64466094067257</c:v>
                </c:pt>
              </c:numCache>
            </c:numRef>
          </c:xVal>
          <c:yVal>
            <c:numRef>
              <c:f>Vis!$B$33:$B$45</c:f>
              <c:numCache>
                <c:formatCode>0</c:formatCode>
                <c:ptCount val="13"/>
                <c:pt idx="0">
                  <c:v>-123.58578643762691</c:v>
                </c:pt>
                <c:pt idx="1">
                  <c:v>-127.82842712474618</c:v>
                </c:pt>
                <c:pt idx="2">
                  <c:v>-129.24264068711929</c:v>
                </c:pt>
                <c:pt idx="3">
                  <c:v>-116.51471862576143</c:v>
                </c:pt>
                <c:pt idx="4">
                  <c:v>-106.61522368914976</c:v>
                </c:pt>
                <c:pt idx="5">
                  <c:v>-96.715728752538098</c:v>
                </c:pt>
                <c:pt idx="6">
                  <c:v>-83.987806691180253</c:v>
                </c:pt>
                <c:pt idx="7">
                  <c:v>-85.402020253553331</c:v>
                </c:pt>
                <c:pt idx="8">
                  <c:v>-89.644660940672622</c:v>
                </c:pt>
                <c:pt idx="9">
                  <c:v>-160.35533905932738</c:v>
                </c:pt>
                <c:pt idx="10">
                  <c:v>-160.35533905932738</c:v>
                </c:pt>
                <c:pt idx="11">
                  <c:v>-132.07106781186548</c:v>
                </c:pt>
                <c:pt idx="12">
                  <c:v>-160.35533905932738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B6A2-4DF4-B2D6-F793F90E9461}"/>
            </c:ext>
          </c:extLst>
        </c:ser>
        <c:ser>
          <c:idx val="9"/>
          <c:order val="2"/>
          <c:tx>
            <c:strRef>
              <c:f>Vis!$D$32</c:f>
              <c:strCache>
                <c:ptCount val="1"/>
                <c:pt idx="0">
                  <c:v>Hs2=1m</c:v>
                </c:pt>
              </c:strCache>
            </c:strRef>
          </c:tx>
          <c:marker>
            <c:symbol val="none"/>
          </c:marker>
          <c:xVal>
            <c:numRef>
              <c:f>Vis!$C$33:$C$45</c:f>
              <c:numCache>
                <c:formatCode>0</c:formatCode>
                <c:ptCount val="13"/>
                <c:pt idx="0">
                  <c:v>-853</c:v>
                </c:pt>
                <c:pt idx="1">
                  <c:v>-859</c:v>
                </c:pt>
                <c:pt idx="2">
                  <c:v>-871</c:v>
                </c:pt>
                <c:pt idx="3">
                  <c:v>-883</c:v>
                </c:pt>
                <c:pt idx="4">
                  <c:v>-889</c:v>
                </c:pt>
                <c:pt idx="5">
                  <c:v>-895</c:v>
                </c:pt>
                <c:pt idx="6">
                  <c:v>-907</c:v>
                </c:pt>
                <c:pt idx="7">
                  <c:v>-919</c:v>
                </c:pt>
                <c:pt idx="8">
                  <c:v>-925</c:v>
                </c:pt>
                <c:pt idx="9">
                  <c:v>-825</c:v>
                </c:pt>
                <c:pt idx="10">
                  <c:v>-845</c:v>
                </c:pt>
                <c:pt idx="11">
                  <c:v>-845</c:v>
                </c:pt>
                <c:pt idx="12">
                  <c:v>-825</c:v>
                </c:pt>
              </c:numCache>
            </c:numRef>
          </c:xVal>
          <c:yVal>
            <c:numRef>
              <c:f>Vis!$D$33:$D$45</c:f>
              <c:numCache>
                <c:formatCode>0</c:formatCode>
                <c:ptCount val="13"/>
                <c:pt idx="0">
                  <c:v>-375</c:v>
                </c:pt>
                <c:pt idx="1">
                  <c:v>-385</c:v>
                </c:pt>
                <c:pt idx="2">
                  <c:v>-395</c:v>
                </c:pt>
                <c:pt idx="3">
                  <c:v>-385</c:v>
                </c:pt>
                <c:pt idx="4">
                  <c:v>-375</c:v>
                </c:pt>
                <c:pt idx="5">
                  <c:v>-365</c:v>
                </c:pt>
                <c:pt idx="6">
                  <c:v>-355</c:v>
                </c:pt>
                <c:pt idx="7">
                  <c:v>-365</c:v>
                </c:pt>
                <c:pt idx="8">
                  <c:v>-375</c:v>
                </c:pt>
                <c:pt idx="9">
                  <c:v>-375</c:v>
                </c:pt>
                <c:pt idx="10">
                  <c:v>-395</c:v>
                </c:pt>
                <c:pt idx="11">
                  <c:v>-355</c:v>
                </c:pt>
                <c:pt idx="12">
                  <c:v>-375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B6A2-4DF4-B2D6-F793F90E9461}"/>
            </c:ext>
          </c:extLst>
        </c:ser>
        <c:ser>
          <c:idx val="10"/>
          <c:order val="3"/>
          <c:tx>
            <c:strRef>
              <c:f>Vis!$F$32</c:f>
              <c:strCache>
                <c:ptCount val="1"/>
                <c:pt idx="0">
                  <c:v>Vw=20kn</c:v>
                </c:pt>
              </c:strCache>
            </c:strRef>
          </c:tx>
          <c:marker>
            <c:symbol val="none"/>
          </c:marker>
          <c:xVal>
            <c:numRef>
              <c:f>Vis!$E$33:$E$42</c:f>
              <c:numCache>
                <c:formatCode>0</c:formatCode>
                <c:ptCount val="10"/>
                <c:pt idx="0">
                  <c:v>-875</c:v>
                </c:pt>
                <c:pt idx="1">
                  <c:v>-895</c:v>
                </c:pt>
                <c:pt idx="2">
                  <c:v>-895</c:v>
                </c:pt>
                <c:pt idx="3">
                  <c:v>-875</c:v>
                </c:pt>
                <c:pt idx="4">
                  <c:v>-875</c:v>
                </c:pt>
                <c:pt idx="5">
                  <c:v>-875</c:v>
                </c:pt>
                <c:pt idx="6">
                  <c:v>-895</c:v>
                </c:pt>
                <c:pt idx="7">
                  <c:v>-875</c:v>
                </c:pt>
                <c:pt idx="8">
                  <c:v>-855</c:v>
                </c:pt>
                <c:pt idx="9">
                  <c:v>-875</c:v>
                </c:pt>
              </c:numCache>
            </c:numRef>
          </c:xVal>
          <c:yVal>
            <c:numRef>
              <c:f>Vis!$F$33:$F$42</c:f>
              <c:numCache>
                <c:formatCode>0</c:formatCode>
                <c:ptCount val="10"/>
                <c:pt idx="0">
                  <c:v>-605</c:v>
                </c:pt>
                <c:pt idx="1">
                  <c:v>-585</c:v>
                </c:pt>
                <c:pt idx="2">
                  <c:v>-565</c:v>
                </c:pt>
                <c:pt idx="3">
                  <c:v>-585</c:v>
                </c:pt>
                <c:pt idx="4">
                  <c:v>-585</c:v>
                </c:pt>
                <c:pt idx="5">
                  <c:v>-665</c:v>
                </c:pt>
                <c:pt idx="6">
                  <c:v>-665</c:v>
                </c:pt>
                <c:pt idx="7">
                  <c:v>-685</c:v>
                </c:pt>
                <c:pt idx="8">
                  <c:v>-665</c:v>
                </c:pt>
                <c:pt idx="9">
                  <c:v>-665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B6A2-4DF4-B2D6-F793F90E9461}"/>
            </c:ext>
          </c:extLst>
        </c:ser>
        <c:ser>
          <c:idx val="14"/>
          <c:order val="4"/>
          <c:tx>
            <c:strRef>
              <c:f>Vis!$H$32</c:f>
              <c:strCache>
                <c:ptCount val="1"/>
                <c:pt idx="0">
                  <c:v>Vc=1kn</c:v>
                </c:pt>
              </c:strCache>
            </c:strRef>
          </c:tx>
          <c:marker>
            <c:symbol val="none"/>
          </c:marker>
          <c:xVal>
            <c:numRef>
              <c:f>Vis!$G$33:$G$44</c:f>
              <c:numCache>
                <c:formatCode>0</c:formatCode>
                <c:ptCount val="12"/>
                <c:pt idx="0">
                  <c:v>-881.3751139767835</c:v>
                </c:pt>
                <c:pt idx="1">
                  <c:v>-874.42918687010626</c:v>
                </c:pt>
                <c:pt idx="3">
                  <c:v>-854.73303180986215</c:v>
                </c:pt>
                <c:pt idx="4">
                  <c:v>-861.67895891653927</c:v>
                </c:pt>
                <c:pt idx="6">
                  <c:v>-864.58110933998421</c:v>
                </c:pt>
                <c:pt idx="7">
                  <c:v>-881.94592710667723</c:v>
                </c:pt>
                <c:pt idx="8">
                  <c:v>-901.64208216692134</c:v>
                </c:pt>
                <c:pt idx="9">
                  <c:v>-885.41889066001579</c:v>
                </c:pt>
                <c:pt idx="10">
                  <c:v>-862.24977204643301</c:v>
                </c:pt>
                <c:pt idx="11">
                  <c:v>-881.94592710667723</c:v>
                </c:pt>
              </c:numCache>
            </c:numRef>
          </c:xVal>
          <c:yVal>
            <c:numRef>
              <c:f>Vis!$H$33:$H$44</c:f>
              <c:numCache>
                <c:formatCode>0</c:formatCode>
                <c:ptCount val="12"/>
                <c:pt idx="0">
                  <c:v>-853.5673631630865</c:v>
                </c:pt>
                <c:pt idx="1">
                  <c:v>-814.17505304259817</c:v>
                </c:pt>
                <c:pt idx="3">
                  <c:v>-817.64801659593684</c:v>
                </c:pt>
                <c:pt idx="4">
                  <c:v>-857.04032671642517</c:v>
                </c:pt>
                <c:pt idx="6">
                  <c:v>-815.91153481926756</c:v>
                </c:pt>
                <c:pt idx="7">
                  <c:v>-914.39231012048833</c:v>
                </c:pt>
                <c:pt idx="8">
                  <c:v>-910.91934656714966</c:v>
                </c:pt>
                <c:pt idx="9">
                  <c:v>-934.08846518073244</c:v>
                </c:pt>
                <c:pt idx="10">
                  <c:v>-917.86527367382689</c:v>
                </c:pt>
                <c:pt idx="11">
                  <c:v>-914.39231012048833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6A2-4DF4-B2D6-F793F90E9461}"/>
            </c:ext>
          </c:extLst>
        </c:ser>
        <c:ser>
          <c:idx val="15"/>
          <c:order val="5"/>
          <c:tx>
            <c:strRef>
              <c:f>Vis!$Z$4</c:f>
              <c:strCache>
                <c:ptCount val="1"/>
                <c:pt idx="0">
                  <c:v>Depth &gt; 17.6m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xVal>
            <c:numRef>
              <c:f>Vis!$W$5:$W$210</c:f>
              <c:numCache>
                <c:formatCode>0.00</c:formatCode>
                <c:ptCount val="206"/>
                <c:pt idx="0">
                  <c:v>693.29545891729799</c:v>
                </c:pt>
                <c:pt idx="1">
                  <c:v>562.38515359891653</c:v>
                </c:pt>
                <c:pt idx="2">
                  <c:v>481.647729458649</c:v>
                </c:pt>
                <c:pt idx="3">
                  <c:v>693.29545891729799</c:v>
                </c:pt>
                <c:pt idx="4">
                  <c:v>481.647729458649</c:v>
                </c:pt>
                <c:pt idx="5">
                  <c:v>400.91030531838152</c:v>
                </c:pt>
                <c:pt idx="6">
                  <c:v>269.99999999999966</c:v>
                </c:pt>
                <c:pt idx="8">
                  <c:v>693.29545891729799</c:v>
                </c:pt>
                <c:pt idx="9">
                  <c:v>562.38515359891653</c:v>
                </c:pt>
                <c:pt idx="10">
                  <c:v>481.647729458649</c:v>
                </c:pt>
                <c:pt idx="11">
                  <c:v>693.29545891729799</c:v>
                </c:pt>
                <c:pt idx="12">
                  <c:v>481.647729458649</c:v>
                </c:pt>
                <c:pt idx="13">
                  <c:v>400.91030531838152</c:v>
                </c:pt>
                <c:pt idx="14">
                  <c:v>269.99999999999966</c:v>
                </c:pt>
                <c:pt idx="16" formatCode="General">
                  <c:v>-42.752517915708587</c:v>
                </c:pt>
                <c:pt idx="17" formatCode="General">
                  <c:v>-35.681450103843112</c:v>
                </c:pt>
                <c:pt idx="18" formatCode="General">
                  <c:v>-32.752517915708587</c:v>
                </c:pt>
                <c:pt idx="19" formatCode="General">
                  <c:v>-35.681450103843112</c:v>
                </c:pt>
                <c:pt idx="20" formatCode="General">
                  <c:v>-42.752517915708587</c:v>
                </c:pt>
                <c:pt idx="21" formatCode="General">
                  <c:v>-49.823585727574063</c:v>
                </c:pt>
                <c:pt idx="22" formatCode="General">
                  <c:v>-52.752517915708587</c:v>
                </c:pt>
                <c:pt idx="23" formatCode="General">
                  <c:v>-49.823585727574063</c:v>
                </c:pt>
                <c:pt idx="24" formatCode="General">
                  <c:v>-42.752517915708587</c:v>
                </c:pt>
                <c:pt idx="26" formatCode="General">
                  <c:v>-187.93852415718166</c:v>
                </c:pt>
                <c:pt idx="27" formatCode="General">
                  <c:v>-177.33192243938345</c:v>
                </c:pt>
                <c:pt idx="28" formatCode="General">
                  <c:v>-172.93852415718166</c:v>
                </c:pt>
                <c:pt idx="29" formatCode="General">
                  <c:v>-177.33192243938345</c:v>
                </c:pt>
                <c:pt idx="30" formatCode="General">
                  <c:v>-187.93852415718166</c:v>
                </c:pt>
                <c:pt idx="31" formatCode="General">
                  <c:v>-198.54512587497987</c:v>
                </c:pt>
                <c:pt idx="32" formatCode="General">
                  <c:v>-202.93852415718166</c:v>
                </c:pt>
                <c:pt idx="33" formatCode="General">
                  <c:v>-198.54512587497987</c:v>
                </c:pt>
                <c:pt idx="34" formatCode="General">
                  <c:v>-187.93852415718166</c:v>
                </c:pt>
                <c:pt idx="36" formatCode="General">
                  <c:v>281.90778623577251</c:v>
                </c:pt>
                <c:pt idx="37" formatCode="General">
                  <c:v>296.04992185950346</c:v>
                </c:pt>
                <c:pt idx="38" formatCode="General">
                  <c:v>301.90778623577251</c:v>
                </c:pt>
                <c:pt idx="39" formatCode="General">
                  <c:v>296.04992185950346</c:v>
                </c:pt>
                <c:pt idx="40" formatCode="General">
                  <c:v>281.90778623577251</c:v>
                </c:pt>
                <c:pt idx="41" formatCode="General">
                  <c:v>267.76565061204155</c:v>
                </c:pt>
                <c:pt idx="42" formatCode="General">
                  <c:v>261.90778623577251</c:v>
                </c:pt>
                <c:pt idx="43" formatCode="General">
                  <c:v>267.76565061204155</c:v>
                </c:pt>
                <c:pt idx="44" formatCode="General">
                  <c:v>281.90778623577251</c:v>
                </c:pt>
                <c:pt idx="46">
                  <c:v>5.122957922980877E-12</c:v>
                </c:pt>
                <c:pt idx="47">
                  <c:v>5.122957922980877E-12</c:v>
                </c:pt>
                <c:pt idx="48">
                  <c:v>-68.155872065097483</c:v>
                </c:pt>
                <c:pt idx="49">
                  <c:v>-340.78235575111336</c:v>
                </c:pt>
                <c:pt idx="50">
                  <c:v>6.3301990091249501E-12</c:v>
                </c:pt>
                <c:pt idx="51">
                  <c:v>6.3301990091249501E-12</c:v>
                </c:pt>
                <c:pt idx="52">
                  <c:v>-84.217016867764244</c:v>
                </c:pt>
                <c:pt idx="53">
                  <c:v>-421.08878564588133</c:v>
                </c:pt>
                <c:pt idx="54">
                  <c:v>7.4892634585309183E-12</c:v>
                </c:pt>
                <c:pt idx="55">
                  <c:v>7.4892634585309183E-12</c:v>
                </c:pt>
                <c:pt idx="56">
                  <c:v>-99.637219320442242</c:v>
                </c:pt>
                <c:pt idx="57">
                  <c:v>-498.19047562152389</c:v>
                </c:pt>
                <c:pt idx="58">
                  <c:v>9.6280115136436648E-12</c:v>
                </c:pt>
                <c:pt idx="59">
                  <c:v>9.6280115136436648E-12</c:v>
                </c:pt>
                <c:pt idx="60">
                  <c:v>-128.09114008560107</c:v>
                </c:pt>
                <c:pt idx="61">
                  <c:v>-640.46132998671885</c:v>
                </c:pt>
                <c:pt idx="62">
                  <c:v>8.5913300908765484E-12</c:v>
                </c:pt>
                <c:pt idx="63">
                  <c:v>8.5913300908765484E-12</c:v>
                </c:pt>
                <c:pt idx="64">
                  <c:v>-114.2991223714937</c:v>
                </c:pt>
                <c:pt idx="65">
                  <c:v>-571.5006352620527</c:v>
                </c:pt>
                <c:pt idx="66">
                  <c:v>7.4892634585309183E-12</c:v>
                </c:pt>
                <c:pt idx="67">
                  <c:v>7.4892634585309183E-12</c:v>
                </c:pt>
                <c:pt idx="68">
                  <c:v>-99.637219320442242</c:v>
                </c:pt>
                <c:pt idx="69">
                  <c:v>-498.19047562152389</c:v>
                </c:pt>
                <c:pt idx="70">
                  <c:v>-1.4750969436624541E-11</c:v>
                </c:pt>
                <c:pt idx="71">
                  <c:v>-1.4750969436624541E-11</c:v>
                </c:pt>
                <c:pt idx="72">
                  <c:v>196.24701215069851</c:v>
                </c:pt>
                <c:pt idx="73">
                  <c:v>981.24368573783204</c:v>
                </c:pt>
                <c:pt idx="74">
                  <c:v>-1.4921529100001498E-11</c:v>
                </c:pt>
                <c:pt idx="75">
                  <c:v>-1.4921529100001498E-11</c:v>
                </c:pt>
                <c:pt idx="76">
                  <c:v>198.51613923925794</c:v>
                </c:pt>
                <c:pt idx="77">
                  <c:v>992.58942090793403</c:v>
                </c:pt>
                <c:pt idx="78">
                  <c:v>-1.4978526917061833E-11</c:v>
                </c:pt>
                <c:pt idx="79">
                  <c:v>-1.4978526917061833E-11</c:v>
                </c:pt>
                <c:pt idx="80">
                  <c:v>199.27443864088443</c:v>
                </c:pt>
                <c:pt idx="81">
                  <c:v>996.38095124304755</c:v>
                </c:pt>
                <c:pt idx="82">
                  <c:v>5.1229579229808794E-12</c:v>
                </c:pt>
                <c:pt idx="83">
                  <c:v>5.1229579229808794E-12</c:v>
                </c:pt>
                <c:pt idx="84">
                  <c:v>-68.155872065097526</c:v>
                </c:pt>
                <c:pt idx="85">
                  <c:v>-340.78235575111353</c:v>
                </c:pt>
                <c:pt idx="86">
                  <c:v>6.3301990091249525E-12</c:v>
                </c:pt>
                <c:pt idx="87">
                  <c:v>6.3301990091249525E-12</c:v>
                </c:pt>
                <c:pt idx="88">
                  <c:v>-84.217016867764272</c:v>
                </c:pt>
                <c:pt idx="89">
                  <c:v>-421.0887856458815</c:v>
                </c:pt>
                <c:pt idx="90">
                  <c:v>7.4892634585309183E-12</c:v>
                </c:pt>
                <c:pt idx="91">
                  <c:v>7.4892634585309183E-12</c:v>
                </c:pt>
                <c:pt idx="92">
                  <c:v>-99.637219320442242</c:v>
                </c:pt>
                <c:pt idx="93">
                  <c:v>-498.19047562152389</c:v>
                </c:pt>
                <c:pt idx="94">
                  <c:v>9.6280115136436696E-12</c:v>
                </c:pt>
                <c:pt idx="95">
                  <c:v>9.6280115136436696E-12</c:v>
                </c:pt>
                <c:pt idx="96">
                  <c:v>-128.0911400856011</c:v>
                </c:pt>
                <c:pt idx="97">
                  <c:v>-640.46132998671908</c:v>
                </c:pt>
                <c:pt idx="98">
                  <c:v>8.5913300908765532E-12</c:v>
                </c:pt>
                <c:pt idx="99">
                  <c:v>8.5913300908765532E-12</c:v>
                </c:pt>
                <c:pt idx="100">
                  <c:v>-114.29912237149377</c:v>
                </c:pt>
                <c:pt idx="101">
                  <c:v>-571.50063526205304</c:v>
                </c:pt>
                <c:pt idx="102">
                  <c:v>7.4892634585309119E-12</c:v>
                </c:pt>
                <c:pt idx="103">
                  <c:v>7.4892634585309119E-12</c:v>
                </c:pt>
                <c:pt idx="104">
                  <c:v>-99.637219320442156</c:v>
                </c:pt>
                <c:pt idx="105">
                  <c:v>-498.19047562152349</c:v>
                </c:pt>
                <c:pt idx="106">
                  <c:v>-1.4750969436624541E-11</c:v>
                </c:pt>
                <c:pt idx="107">
                  <c:v>-1.4750969436624541E-11</c:v>
                </c:pt>
                <c:pt idx="108">
                  <c:v>196.24701215069851</c:v>
                </c:pt>
                <c:pt idx="109">
                  <c:v>981.24368573783204</c:v>
                </c:pt>
                <c:pt idx="110">
                  <c:v>-1.4921529100001498E-11</c:v>
                </c:pt>
                <c:pt idx="111">
                  <c:v>-1.4921529100001498E-11</c:v>
                </c:pt>
                <c:pt idx="112">
                  <c:v>198.51613923925794</c:v>
                </c:pt>
                <c:pt idx="113">
                  <c:v>992.58942090793403</c:v>
                </c:pt>
                <c:pt idx="114">
                  <c:v>-1.4978526917061833E-11</c:v>
                </c:pt>
                <c:pt idx="115">
                  <c:v>-1.4978526917061833E-11</c:v>
                </c:pt>
                <c:pt idx="116">
                  <c:v>199.27443864088443</c:v>
                </c:pt>
                <c:pt idx="117">
                  <c:v>996.38095124304755</c:v>
                </c:pt>
                <c:pt idx="118">
                  <c:v>5.1229579229808633E-12</c:v>
                </c:pt>
                <c:pt idx="119">
                  <c:v>5.1229579229808633E-12</c:v>
                </c:pt>
                <c:pt idx="120">
                  <c:v>-68.155872065097313</c:v>
                </c:pt>
                <c:pt idx="121">
                  <c:v>-340.7823557511125</c:v>
                </c:pt>
                <c:pt idx="122">
                  <c:v>6.3301990091249372E-12</c:v>
                </c:pt>
                <c:pt idx="123">
                  <c:v>6.3301990091249372E-12</c:v>
                </c:pt>
                <c:pt idx="124">
                  <c:v>-84.217016867764073</c:v>
                </c:pt>
                <c:pt idx="125">
                  <c:v>-421.08878564588053</c:v>
                </c:pt>
                <c:pt idx="126">
                  <c:v>7.4892634585309038E-12</c:v>
                </c:pt>
                <c:pt idx="127">
                  <c:v>7.4892634585309038E-12</c:v>
                </c:pt>
                <c:pt idx="128">
                  <c:v>-99.637219320442043</c:v>
                </c:pt>
                <c:pt idx="129">
                  <c:v>-498.19047562152286</c:v>
                </c:pt>
                <c:pt idx="130">
                  <c:v>9.6280115136436616E-12</c:v>
                </c:pt>
                <c:pt idx="131">
                  <c:v>9.6280115136436616E-12</c:v>
                </c:pt>
                <c:pt idx="132">
                  <c:v>-128.09114008560101</c:v>
                </c:pt>
                <c:pt idx="133">
                  <c:v>-640.46132998671862</c:v>
                </c:pt>
                <c:pt idx="134">
                  <c:v>8.5913300908765452E-12</c:v>
                </c:pt>
                <c:pt idx="135">
                  <c:v>8.5913300908765452E-12</c:v>
                </c:pt>
                <c:pt idx="136">
                  <c:v>-114.29912237149365</c:v>
                </c:pt>
                <c:pt idx="137">
                  <c:v>-571.50063526205247</c:v>
                </c:pt>
                <c:pt idx="138">
                  <c:v>7.4892634585309151E-12</c:v>
                </c:pt>
                <c:pt idx="139">
                  <c:v>7.4892634585309151E-12</c:v>
                </c:pt>
                <c:pt idx="140">
                  <c:v>-99.637219320442199</c:v>
                </c:pt>
                <c:pt idx="141">
                  <c:v>-498.19047562152372</c:v>
                </c:pt>
                <c:pt idx="142">
                  <c:v>-1.4750969436624541E-11</c:v>
                </c:pt>
                <c:pt idx="143">
                  <c:v>-1.4750969436624541E-11</c:v>
                </c:pt>
                <c:pt idx="144">
                  <c:v>196.24701215069851</c:v>
                </c:pt>
                <c:pt idx="145">
                  <c:v>981.24368573783204</c:v>
                </c:pt>
                <c:pt idx="146">
                  <c:v>-1.4921529100001495E-11</c:v>
                </c:pt>
                <c:pt idx="147">
                  <c:v>-1.4921529100001495E-11</c:v>
                </c:pt>
                <c:pt idx="148">
                  <c:v>198.51613923925791</c:v>
                </c:pt>
                <c:pt idx="149">
                  <c:v>992.58942090793391</c:v>
                </c:pt>
                <c:pt idx="150">
                  <c:v>-1.4978526917061833E-11</c:v>
                </c:pt>
                <c:pt idx="151">
                  <c:v>-1.4978526917061833E-11</c:v>
                </c:pt>
                <c:pt idx="152">
                  <c:v>199.27443864088443</c:v>
                </c:pt>
                <c:pt idx="153">
                  <c:v>996.38095124304755</c:v>
                </c:pt>
                <c:pt idx="154">
                  <c:v>5.1229579229808851E-12</c:v>
                </c:pt>
                <c:pt idx="155">
                  <c:v>5.1229579229808851E-12</c:v>
                </c:pt>
                <c:pt idx="156">
                  <c:v>-68.155872065097597</c:v>
                </c:pt>
                <c:pt idx="157">
                  <c:v>-340.78235575111393</c:v>
                </c:pt>
                <c:pt idx="158">
                  <c:v>6.3301990091249339E-12</c:v>
                </c:pt>
                <c:pt idx="159">
                  <c:v>6.3301990091249339E-12</c:v>
                </c:pt>
                <c:pt idx="160">
                  <c:v>-84.217016867764031</c:v>
                </c:pt>
                <c:pt idx="161">
                  <c:v>-421.08878564588031</c:v>
                </c:pt>
                <c:pt idx="162">
                  <c:v>7.4892634585309232E-12</c:v>
                </c:pt>
                <c:pt idx="163">
                  <c:v>7.4892634585309232E-12</c:v>
                </c:pt>
                <c:pt idx="164">
                  <c:v>-99.637219320442298</c:v>
                </c:pt>
                <c:pt idx="165">
                  <c:v>-498.19047562152423</c:v>
                </c:pt>
                <c:pt idx="166">
                  <c:v>9.6280115136436858E-12</c:v>
                </c:pt>
                <c:pt idx="167">
                  <c:v>9.6280115136436858E-12</c:v>
                </c:pt>
                <c:pt idx="168">
                  <c:v>-128.09114008560132</c:v>
                </c:pt>
                <c:pt idx="169">
                  <c:v>-640.46132998672022</c:v>
                </c:pt>
                <c:pt idx="170">
                  <c:v>8.5913300908765484E-12</c:v>
                </c:pt>
                <c:pt idx="171">
                  <c:v>8.5913300908765484E-12</c:v>
                </c:pt>
                <c:pt idx="172">
                  <c:v>-114.2991223714937</c:v>
                </c:pt>
                <c:pt idx="173">
                  <c:v>-571.5006352620527</c:v>
                </c:pt>
                <c:pt idx="174">
                  <c:v>7.489263458530941E-12</c:v>
                </c:pt>
                <c:pt idx="175">
                  <c:v>7.489263458530941E-12</c:v>
                </c:pt>
                <c:pt idx="176">
                  <c:v>-99.63721932044254</c:v>
                </c:pt>
                <c:pt idx="177">
                  <c:v>-498.19047562152542</c:v>
                </c:pt>
                <c:pt idx="178">
                  <c:v>-1.4750969436624538E-11</c:v>
                </c:pt>
                <c:pt idx="179">
                  <c:v>-1.4750969436624538E-11</c:v>
                </c:pt>
                <c:pt idx="180">
                  <c:v>196.24701215069848</c:v>
                </c:pt>
                <c:pt idx="181">
                  <c:v>981.24368573783192</c:v>
                </c:pt>
                <c:pt idx="182">
                  <c:v>-1.4921529100001498E-11</c:v>
                </c:pt>
                <c:pt idx="183">
                  <c:v>-1.4921529100001498E-11</c:v>
                </c:pt>
                <c:pt idx="184">
                  <c:v>198.51613923925797</c:v>
                </c:pt>
                <c:pt idx="185">
                  <c:v>992.58942090793414</c:v>
                </c:pt>
                <c:pt idx="186">
                  <c:v>-1.4978526917061833E-11</c:v>
                </c:pt>
                <c:pt idx="187">
                  <c:v>-1.4978526917061833E-11</c:v>
                </c:pt>
                <c:pt idx="188">
                  <c:v>199.27443864088443</c:v>
                </c:pt>
                <c:pt idx="189">
                  <c:v>996.38095124304755</c:v>
                </c:pt>
                <c:pt idx="190">
                  <c:v>5.1229579229808818E-12</c:v>
                </c:pt>
                <c:pt idx="191">
                  <c:v>5.1229579229808818E-12</c:v>
                </c:pt>
                <c:pt idx="192">
                  <c:v>-68.155872065097554</c:v>
                </c:pt>
                <c:pt idx="193">
                  <c:v>-340.7823557511137</c:v>
                </c:pt>
                <c:pt idx="194">
                  <c:v>6.3301990091249307E-12</c:v>
                </c:pt>
                <c:pt idx="195">
                  <c:v>6.3301990091249307E-12</c:v>
                </c:pt>
                <c:pt idx="196">
                  <c:v>-84.217016867763988</c:v>
                </c:pt>
                <c:pt idx="197">
                  <c:v>-421.08878564588008</c:v>
                </c:pt>
                <c:pt idx="198">
                  <c:v>7.48926345853092E-12</c:v>
                </c:pt>
                <c:pt idx="199">
                  <c:v>7.48926345853092E-12</c:v>
                </c:pt>
                <c:pt idx="200">
                  <c:v>-99.637219320442256</c:v>
                </c:pt>
                <c:pt idx="201">
                  <c:v>-498.190475621524</c:v>
                </c:pt>
                <c:pt idx="202">
                  <c:v>9.6280115136436874E-12</c:v>
                </c:pt>
                <c:pt idx="203">
                  <c:v>9.6280115136436874E-12</c:v>
                </c:pt>
                <c:pt idx="204">
                  <c:v>-128.09114008560135</c:v>
                </c:pt>
                <c:pt idx="205">
                  <c:v>-640.46132998672033</c:v>
                </c:pt>
              </c:numCache>
            </c:numRef>
          </c:xVal>
          <c:yVal>
            <c:numRef>
              <c:f>Vis!$Z$5:$Z$210</c:f>
              <c:numCache>
                <c:formatCode>0.00</c:formatCode>
                <c:ptCount val="206"/>
                <c:pt idx="2">
                  <c:v>211.64753875747465</c:v>
                </c:pt>
                <c:pt idx="3">
                  <c:v>423.29507751494936</c:v>
                </c:pt>
                <c:pt idx="4">
                  <c:v>211.64753875747465</c:v>
                </c:pt>
                <c:pt idx="10">
                  <c:v>211.64753875747465</c:v>
                </c:pt>
                <c:pt idx="11">
                  <c:v>423.29507751494936</c:v>
                </c:pt>
                <c:pt idx="12">
                  <c:v>211.64753875747465</c:v>
                </c:pt>
                <c:pt idx="16" formatCode="General">
                  <c:v>127.46157759823855</c:v>
                </c:pt>
                <c:pt idx="17" formatCode="General">
                  <c:v>124.53264541010402</c:v>
                </c:pt>
                <c:pt idx="18" formatCode="General">
                  <c:v>117.46157759823855</c:v>
                </c:pt>
                <c:pt idx="19" formatCode="General">
                  <c:v>110.39050978637307</c:v>
                </c:pt>
                <c:pt idx="20" formatCode="General">
                  <c:v>107.46157759823855</c:v>
                </c:pt>
                <c:pt idx="21" formatCode="General">
                  <c:v>110.39050978637307</c:v>
                </c:pt>
                <c:pt idx="22" formatCode="General">
                  <c:v>117.46157759823855</c:v>
                </c:pt>
                <c:pt idx="23" formatCode="General">
                  <c:v>124.53264541010402</c:v>
                </c:pt>
                <c:pt idx="24" formatCode="General">
                  <c:v>127.46157759823855</c:v>
                </c:pt>
                <c:pt idx="26" formatCode="General">
                  <c:v>83.404028665133765</c:v>
                </c:pt>
                <c:pt idx="27" formatCode="General">
                  <c:v>79.010630382931978</c:v>
                </c:pt>
                <c:pt idx="28" formatCode="General">
                  <c:v>68.404028665133765</c:v>
                </c:pt>
                <c:pt idx="29" formatCode="General">
                  <c:v>57.797426947335552</c:v>
                </c:pt>
                <c:pt idx="30" formatCode="General">
                  <c:v>53.404028665133765</c:v>
                </c:pt>
                <c:pt idx="31" formatCode="General">
                  <c:v>57.797426947335552</c:v>
                </c:pt>
                <c:pt idx="32" formatCode="General">
                  <c:v>68.404028665133765</c:v>
                </c:pt>
                <c:pt idx="33" formatCode="General">
                  <c:v>79.010630382931978</c:v>
                </c:pt>
                <c:pt idx="34" formatCode="General">
                  <c:v>83.404028665133765</c:v>
                </c:pt>
                <c:pt idx="36" formatCode="General">
                  <c:v>-82.60604299770057</c:v>
                </c:pt>
                <c:pt idx="37" formatCode="General">
                  <c:v>-88.463907373969619</c:v>
                </c:pt>
                <c:pt idx="38" formatCode="General">
                  <c:v>-102.60604299770057</c:v>
                </c:pt>
                <c:pt idx="39" formatCode="General">
                  <c:v>-116.74817862143152</c:v>
                </c:pt>
                <c:pt idx="40" formatCode="General">
                  <c:v>-122.60604299770057</c:v>
                </c:pt>
                <c:pt idx="41" formatCode="General">
                  <c:v>-116.74817862143152</c:v>
                </c:pt>
                <c:pt idx="42" formatCode="General">
                  <c:v>-102.60604299770057</c:v>
                </c:pt>
                <c:pt idx="43" formatCode="General">
                  <c:v>-88.463907373969619</c:v>
                </c:pt>
                <c:pt idx="44" formatCode="General">
                  <c:v>-82.60604299770057</c:v>
                </c:pt>
                <c:pt idx="48">
                  <c:v>187.25671950209338</c:v>
                </c:pt>
                <c:pt idx="49">
                  <c:v>936.2918273747357</c:v>
                </c:pt>
                <c:pt idx="52">
                  <c:v>180.60397549759065</c:v>
                </c:pt>
                <c:pt idx="53">
                  <c:v>903.02781496655859</c:v>
                </c:pt>
                <c:pt idx="56">
                  <c:v>172.57672618788928</c:v>
                </c:pt>
                <c:pt idx="57">
                  <c:v>862.89121562338323</c:v>
                </c:pt>
                <c:pt idx="60">
                  <c:v>-152.65307637650326</c:v>
                </c:pt>
                <c:pt idx="61">
                  <c:v>-763.27209092933799</c:v>
                </c:pt>
                <c:pt idx="64">
                  <c:v>-163.23606378722175</c:v>
                </c:pt>
                <c:pt idx="65">
                  <c:v>-816.18749310135263</c:v>
                </c:pt>
                <c:pt idx="68">
                  <c:v>-172.57672618788928</c:v>
                </c:pt>
                <c:pt idx="69">
                  <c:v>-862.89121562338323</c:v>
                </c:pt>
                <c:pt idx="72">
                  <c:v>-34.603643125590096</c:v>
                </c:pt>
                <c:pt idx="73">
                  <c:v>-173.01973644539771</c:v>
                </c:pt>
                <c:pt idx="76">
                  <c:v>-17.367911710368922</c:v>
                </c:pt>
                <c:pt idx="77">
                  <c:v>-86.840321865206008</c:v>
                </c:pt>
                <c:pt idx="80">
                  <c:v>-2.4414077060366216E-14</c:v>
                </c:pt>
                <c:pt idx="81">
                  <c:v>-1.2207145829158009E-13</c:v>
                </c:pt>
                <c:pt idx="84">
                  <c:v>187.25671950209338</c:v>
                </c:pt>
                <c:pt idx="85">
                  <c:v>936.2918273747357</c:v>
                </c:pt>
                <c:pt idx="88">
                  <c:v>180.60397549759065</c:v>
                </c:pt>
                <c:pt idx="89">
                  <c:v>903.02781496655859</c:v>
                </c:pt>
                <c:pt idx="92">
                  <c:v>172.57672618788928</c:v>
                </c:pt>
                <c:pt idx="93">
                  <c:v>862.89121562338323</c:v>
                </c:pt>
                <c:pt idx="96">
                  <c:v>-152.65307637650321</c:v>
                </c:pt>
                <c:pt idx="97">
                  <c:v>-763.27209092933776</c:v>
                </c:pt>
                <c:pt idx="100">
                  <c:v>-163.23606378722167</c:v>
                </c:pt>
                <c:pt idx="101">
                  <c:v>-816.18749310135229</c:v>
                </c:pt>
                <c:pt idx="104">
                  <c:v>-172.57672618788931</c:v>
                </c:pt>
                <c:pt idx="105">
                  <c:v>-862.89121562338346</c:v>
                </c:pt>
                <c:pt idx="108">
                  <c:v>-34.603643125590139</c:v>
                </c:pt>
                <c:pt idx="109">
                  <c:v>-173.01973644539794</c:v>
                </c:pt>
                <c:pt idx="112">
                  <c:v>-17.367911710368972</c:v>
                </c:pt>
                <c:pt idx="113">
                  <c:v>-86.840321865206263</c:v>
                </c:pt>
                <c:pt idx="116">
                  <c:v>-7.3242231181098641E-14</c:v>
                </c:pt>
                <c:pt idx="117">
                  <c:v>-3.6621437487474021E-13</c:v>
                </c:pt>
                <c:pt idx="120">
                  <c:v>187.25671950209343</c:v>
                </c:pt>
                <c:pt idx="121">
                  <c:v>936.29182737473604</c:v>
                </c:pt>
                <c:pt idx="124">
                  <c:v>180.60397549759074</c:v>
                </c:pt>
                <c:pt idx="125">
                  <c:v>903.02781496655905</c:v>
                </c:pt>
                <c:pt idx="128">
                  <c:v>172.57672618788939</c:v>
                </c:pt>
                <c:pt idx="129">
                  <c:v>862.8912156233838</c:v>
                </c:pt>
                <c:pt idx="132">
                  <c:v>-152.65307637650332</c:v>
                </c:pt>
                <c:pt idx="133">
                  <c:v>-763.27209092933822</c:v>
                </c:pt>
                <c:pt idx="136">
                  <c:v>-163.23606378722175</c:v>
                </c:pt>
                <c:pt idx="137">
                  <c:v>-816.18749310135274</c:v>
                </c:pt>
                <c:pt idx="140">
                  <c:v>-172.57672618788928</c:v>
                </c:pt>
                <c:pt idx="141">
                  <c:v>-862.89121562338335</c:v>
                </c:pt>
                <c:pt idx="144">
                  <c:v>-34.603643125590189</c:v>
                </c:pt>
                <c:pt idx="145">
                  <c:v>-173.01973644539819</c:v>
                </c:pt>
                <c:pt idx="148">
                  <c:v>-17.367911710369018</c:v>
                </c:pt>
                <c:pt idx="149">
                  <c:v>-86.840321865206491</c:v>
                </c:pt>
                <c:pt idx="152">
                  <c:v>-1.2207038530183109E-13</c:v>
                </c:pt>
                <c:pt idx="153">
                  <c:v>-6.1035729145790038E-13</c:v>
                </c:pt>
                <c:pt idx="156">
                  <c:v>187.25671950209332</c:v>
                </c:pt>
                <c:pt idx="157">
                  <c:v>936.29182737473548</c:v>
                </c:pt>
                <c:pt idx="160">
                  <c:v>180.60397549759077</c:v>
                </c:pt>
                <c:pt idx="161">
                  <c:v>903.02781496655916</c:v>
                </c:pt>
                <c:pt idx="164">
                  <c:v>172.57672618788922</c:v>
                </c:pt>
                <c:pt idx="165">
                  <c:v>862.891215623383</c:v>
                </c:pt>
                <c:pt idx="168">
                  <c:v>-152.65307637650304</c:v>
                </c:pt>
                <c:pt idx="169">
                  <c:v>-763.27209092933685</c:v>
                </c:pt>
                <c:pt idx="172">
                  <c:v>-163.23606378722172</c:v>
                </c:pt>
                <c:pt idx="173">
                  <c:v>-816.18749310135252</c:v>
                </c:pt>
                <c:pt idx="176">
                  <c:v>-172.57672618788908</c:v>
                </c:pt>
                <c:pt idx="177">
                  <c:v>-862.89121562338244</c:v>
                </c:pt>
                <c:pt idx="180">
                  <c:v>-34.603643125590239</c:v>
                </c:pt>
                <c:pt idx="181">
                  <c:v>-173.01973644539842</c:v>
                </c:pt>
                <c:pt idx="184">
                  <c:v>-17.367911710368713</c:v>
                </c:pt>
                <c:pt idx="185">
                  <c:v>-86.84032186520497</c:v>
                </c:pt>
                <c:pt idx="188">
                  <c:v>-1.708985394225635E-13</c:v>
                </c:pt>
                <c:pt idx="189">
                  <c:v>-8.5450020804106056E-13</c:v>
                </c:pt>
                <c:pt idx="192">
                  <c:v>187.25671950209335</c:v>
                </c:pt>
                <c:pt idx="193">
                  <c:v>936.29182737473559</c:v>
                </c:pt>
                <c:pt idx="196">
                  <c:v>180.60397549759077</c:v>
                </c:pt>
                <c:pt idx="197">
                  <c:v>903.02781496655928</c:v>
                </c:pt>
                <c:pt idx="200">
                  <c:v>172.57672618788925</c:v>
                </c:pt>
                <c:pt idx="201">
                  <c:v>862.89121562338312</c:v>
                </c:pt>
                <c:pt idx="204">
                  <c:v>-152.65307637650301</c:v>
                </c:pt>
                <c:pt idx="205">
                  <c:v>-763.27209092933674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B6A2-4DF4-B2D6-F793F90E9461}"/>
            </c:ext>
          </c:extLst>
        </c:ser>
        <c:ser>
          <c:idx val="16"/>
          <c:order val="6"/>
          <c:tx>
            <c:strRef>
              <c:f>Vis!$Y$4</c:f>
              <c:strCache>
                <c:ptCount val="1"/>
                <c:pt idx="0">
                  <c:v>T &lt; Depth &lt; 17.6m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Vis!$W$5:$W$210</c:f>
              <c:numCache>
                <c:formatCode>0.00</c:formatCode>
                <c:ptCount val="206"/>
                <c:pt idx="0">
                  <c:v>693.29545891729799</c:v>
                </c:pt>
                <c:pt idx="1">
                  <c:v>562.38515359891653</c:v>
                </c:pt>
                <c:pt idx="2">
                  <c:v>481.647729458649</c:v>
                </c:pt>
                <c:pt idx="3">
                  <c:v>693.29545891729799</c:v>
                </c:pt>
                <c:pt idx="4">
                  <c:v>481.647729458649</c:v>
                </c:pt>
                <c:pt idx="5">
                  <c:v>400.91030531838152</c:v>
                </c:pt>
                <c:pt idx="6">
                  <c:v>269.99999999999966</c:v>
                </c:pt>
                <c:pt idx="8">
                  <c:v>693.29545891729799</c:v>
                </c:pt>
                <c:pt idx="9">
                  <c:v>562.38515359891653</c:v>
                </c:pt>
                <c:pt idx="10">
                  <c:v>481.647729458649</c:v>
                </c:pt>
                <c:pt idx="11">
                  <c:v>693.29545891729799</c:v>
                </c:pt>
                <c:pt idx="12">
                  <c:v>481.647729458649</c:v>
                </c:pt>
                <c:pt idx="13">
                  <c:v>400.91030531838152</c:v>
                </c:pt>
                <c:pt idx="14">
                  <c:v>269.99999999999966</c:v>
                </c:pt>
                <c:pt idx="16" formatCode="General">
                  <c:v>-42.752517915708587</c:v>
                </c:pt>
                <c:pt idx="17" formatCode="General">
                  <c:v>-35.681450103843112</c:v>
                </c:pt>
                <c:pt idx="18" formatCode="General">
                  <c:v>-32.752517915708587</c:v>
                </c:pt>
                <c:pt idx="19" formatCode="General">
                  <c:v>-35.681450103843112</c:v>
                </c:pt>
                <c:pt idx="20" formatCode="General">
                  <c:v>-42.752517915708587</c:v>
                </c:pt>
                <c:pt idx="21" formatCode="General">
                  <c:v>-49.823585727574063</c:v>
                </c:pt>
                <c:pt idx="22" formatCode="General">
                  <c:v>-52.752517915708587</c:v>
                </c:pt>
                <c:pt idx="23" formatCode="General">
                  <c:v>-49.823585727574063</c:v>
                </c:pt>
                <c:pt idx="24" formatCode="General">
                  <c:v>-42.752517915708587</c:v>
                </c:pt>
                <c:pt idx="26" formatCode="General">
                  <c:v>-187.93852415718166</c:v>
                </c:pt>
                <c:pt idx="27" formatCode="General">
                  <c:v>-177.33192243938345</c:v>
                </c:pt>
                <c:pt idx="28" formatCode="General">
                  <c:v>-172.93852415718166</c:v>
                </c:pt>
                <c:pt idx="29" formatCode="General">
                  <c:v>-177.33192243938345</c:v>
                </c:pt>
                <c:pt idx="30" formatCode="General">
                  <c:v>-187.93852415718166</c:v>
                </c:pt>
                <c:pt idx="31" formatCode="General">
                  <c:v>-198.54512587497987</c:v>
                </c:pt>
                <c:pt idx="32" formatCode="General">
                  <c:v>-202.93852415718166</c:v>
                </c:pt>
                <c:pt idx="33" formatCode="General">
                  <c:v>-198.54512587497987</c:v>
                </c:pt>
                <c:pt idx="34" formatCode="General">
                  <c:v>-187.93852415718166</c:v>
                </c:pt>
                <c:pt idx="36" formatCode="General">
                  <c:v>281.90778623577251</c:v>
                </c:pt>
                <c:pt idx="37" formatCode="General">
                  <c:v>296.04992185950346</c:v>
                </c:pt>
                <c:pt idx="38" formatCode="General">
                  <c:v>301.90778623577251</c:v>
                </c:pt>
                <c:pt idx="39" formatCode="General">
                  <c:v>296.04992185950346</c:v>
                </c:pt>
                <c:pt idx="40" formatCode="General">
                  <c:v>281.90778623577251</c:v>
                </c:pt>
                <c:pt idx="41" formatCode="General">
                  <c:v>267.76565061204155</c:v>
                </c:pt>
                <c:pt idx="42" formatCode="General">
                  <c:v>261.90778623577251</c:v>
                </c:pt>
                <c:pt idx="43" formatCode="General">
                  <c:v>267.76565061204155</c:v>
                </c:pt>
                <c:pt idx="44" formatCode="General">
                  <c:v>281.90778623577251</c:v>
                </c:pt>
                <c:pt idx="46">
                  <c:v>5.122957922980877E-12</c:v>
                </c:pt>
                <c:pt idx="47">
                  <c:v>5.122957922980877E-12</c:v>
                </c:pt>
                <c:pt idx="48">
                  <c:v>-68.155872065097483</c:v>
                </c:pt>
                <c:pt idx="49">
                  <c:v>-340.78235575111336</c:v>
                </c:pt>
                <c:pt idx="50">
                  <c:v>6.3301990091249501E-12</c:v>
                </c:pt>
                <c:pt idx="51">
                  <c:v>6.3301990091249501E-12</c:v>
                </c:pt>
                <c:pt idx="52">
                  <c:v>-84.217016867764244</c:v>
                </c:pt>
                <c:pt idx="53">
                  <c:v>-421.08878564588133</c:v>
                </c:pt>
                <c:pt idx="54">
                  <c:v>7.4892634585309183E-12</c:v>
                </c:pt>
                <c:pt idx="55">
                  <c:v>7.4892634585309183E-12</c:v>
                </c:pt>
                <c:pt idx="56">
                  <c:v>-99.637219320442242</c:v>
                </c:pt>
                <c:pt idx="57">
                  <c:v>-498.19047562152389</c:v>
                </c:pt>
                <c:pt idx="58">
                  <c:v>9.6280115136436648E-12</c:v>
                </c:pt>
                <c:pt idx="59">
                  <c:v>9.6280115136436648E-12</c:v>
                </c:pt>
                <c:pt idx="60">
                  <c:v>-128.09114008560107</c:v>
                </c:pt>
                <c:pt idx="61">
                  <c:v>-640.46132998671885</c:v>
                </c:pt>
                <c:pt idx="62">
                  <c:v>8.5913300908765484E-12</c:v>
                </c:pt>
                <c:pt idx="63">
                  <c:v>8.5913300908765484E-12</c:v>
                </c:pt>
                <c:pt idx="64">
                  <c:v>-114.2991223714937</c:v>
                </c:pt>
                <c:pt idx="65">
                  <c:v>-571.5006352620527</c:v>
                </c:pt>
                <c:pt idx="66">
                  <c:v>7.4892634585309183E-12</c:v>
                </c:pt>
                <c:pt idx="67">
                  <c:v>7.4892634585309183E-12</c:v>
                </c:pt>
                <c:pt idx="68">
                  <c:v>-99.637219320442242</c:v>
                </c:pt>
                <c:pt idx="69">
                  <c:v>-498.19047562152389</c:v>
                </c:pt>
                <c:pt idx="70">
                  <c:v>-1.4750969436624541E-11</c:v>
                </c:pt>
                <c:pt idx="71">
                  <c:v>-1.4750969436624541E-11</c:v>
                </c:pt>
                <c:pt idx="72">
                  <c:v>196.24701215069851</c:v>
                </c:pt>
                <c:pt idx="73">
                  <c:v>981.24368573783204</c:v>
                </c:pt>
                <c:pt idx="74">
                  <c:v>-1.4921529100001498E-11</c:v>
                </c:pt>
                <c:pt idx="75">
                  <c:v>-1.4921529100001498E-11</c:v>
                </c:pt>
                <c:pt idx="76">
                  <c:v>198.51613923925794</c:v>
                </c:pt>
                <c:pt idx="77">
                  <c:v>992.58942090793403</c:v>
                </c:pt>
                <c:pt idx="78">
                  <c:v>-1.4978526917061833E-11</c:v>
                </c:pt>
                <c:pt idx="79">
                  <c:v>-1.4978526917061833E-11</c:v>
                </c:pt>
                <c:pt idx="80">
                  <c:v>199.27443864088443</c:v>
                </c:pt>
                <c:pt idx="81">
                  <c:v>996.38095124304755</c:v>
                </c:pt>
                <c:pt idx="82">
                  <c:v>5.1229579229808794E-12</c:v>
                </c:pt>
                <c:pt idx="83">
                  <c:v>5.1229579229808794E-12</c:v>
                </c:pt>
                <c:pt idx="84">
                  <c:v>-68.155872065097526</c:v>
                </c:pt>
                <c:pt idx="85">
                  <c:v>-340.78235575111353</c:v>
                </c:pt>
                <c:pt idx="86">
                  <c:v>6.3301990091249525E-12</c:v>
                </c:pt>
                <c:pt idx="87">
                  <c:v>6.3301990091249525E-12</c:v>
                </c:pt>
                <c:pt idx="88">
                  <c:v>-84.217016867764272</c:v>
                </c:pt>
                <c:pt idx="89">
                  <c:v>-421.0887856458815</c:v>
                </c:pt>
                <c:pt idx="90">
                  <c:v>7.4892634585309183E-12</c:v>
                </c:pt>
                <c:pt idx="91">
                  <c:v>7.4892634585309183E-12</c:v>
                </c:pt>
                <c:pt idx="92">
                  <c:v>-99.637219320442242</c:v>
                </c:pt>
                <c:pt idx="93">
                  <c:v>-498.19047562152389</c:v>
                </c:pt>
                <c:pt idx="94">
                  <c:v>9.6280115136436696E-12</c:v>
                </c:pt>
                <c:pt idx="95">
                  <c:v>9.6280115136436696E-12</c:v>
                </c:pt>
                <c:pt idx="96">
                  <c:v>-128.0911400856011</c:v>
                </c:pt>
                <c:pt idx="97">
                  <c:v>-640.46132998671908</c:v>
                </c:pt>
                <c:pt idx="98">
                  <c:v>8.5913300908765532E-12</c:v>
                </c:pt>
                <c:pt idx="99">
                  <c:v>8.5913300908765532E-12</c:v>
                </c:pt>
                <c:pt idx="100">
                  <c:v>-114.29912237149377</c:v>
                </c:pt>
                <c:pt idx="101">
                  <c:v>-571.50063526205304</c:v>
                </c:pt>
                <c:pt idx="102">
                  <c:v>7.4892634585309119E-12</c:v>
                </c:pt>
                <c:pt idx="103">
                  <c:v>7.4892634585309119E-12</c:v>
                </c:pt>
                <c:pt idx="104">
                  <c:v>-99.637219320442156</c:v>
                </c:pt>
                <c:pt idx="105">
                  <c:v>-498.19047562152349</c:v>
                </c:pt>
                <c:pt idx="106">
                  <c:v>-1.4750969436624541E-11</c:v>
                </c:pt>
                <c:pt idx="107">
                  <c:v>-1.4750969436624541E-11</c:v>
                </c:pt>
                <c:pt idx="108">
                  <c:v>196.24701215069851</c:v>
                </c:pt>
                <c:pt idx="109">
                  <c:v>981.24368573783204</c:v>
                </c:pt>
                <c:pt idx="110">
                  <c:v>-1.4921529100001498E-11</c:v>
                </c:pt>
                <c:pt idx="111">
                  <c:v>-1.4921529100001498E-11</c:v>
                </c:pt>
                <c:pt idx="112">
                  <c:v>198.51613923925794</c:v>
                </c:pt>
                <c:pt idx="113">
                  <c:v>992.58942090793403</c:v>
                </c:pt>
                <c:pt idx="114">
                  <c:v>-1.4978526917061833E-11</c:v>
                </c:pt>
                <c:pt idx="115">
                  <c:v>-1.4978526917061833E-11</c:v>
                </c:pt>
                <c:pt idx="116">
                  <c:v>199.27443864088443</c:v>
                </c:pt>
                <c:pt idx="117">
                  <c:v>996.38095124304755</c:v>
                </c:pt>
                <c:pt idx="118">
                  <c:v>5.1229579229808633E-12</c:v>
                </c:pt>
                <c:pt idx="119">
                  <c:v>5.1229579229808633E-12</c:v>
                </c:pt>
                <c:pt idx="120">
                  <c:v>-68.155872065097313</c:v>
                </c:pt>
                <c:pt idx="121">
                  <c:v>-340.7823557511125</c:v>
                </c:pt>
                <c:pt idx="122">
                  <c:v>6.3301990091249372E-12</c:v>
                </c:pt>
                <c:pt idx="123">
                  <c:v>6.3301990091249372E-12</c:v>
                </c:pt>
                <c:pt idx="124">
                  <c:v>-84.217016867764073</c:v>
                </c:pt>
                <c:pt idx="125">
                  <c:v>-421.08878564588053</c:v>
                </c:pt>
                <c:pt idx="126">
                  <c:v>7.4892634585309038E-12</c:v>
                </c:pt>
                <c:pt idx="127">
                  <c:v>7.4892634585309038E-12</c:v>
                </c:pt>
                <c:pt idx="128">
                  <c:v>-99.637219320442043</c:v>
                </c:pt>
                <c:pt idx="129">
                  <c:v>-498.19047562152286</c:v>
                </c:pt>
                <c:pt idx="130">
                  <c:v>9.6280115136436616E-12</c:v>
                </c:pt>
                <c:pt idx="131">
                  <c:v>9.6280115136436616E-12</c:v>
                </c:pt>
                <c:pt idx="132">
                  <c:v>-128.09114008560101</c:v>
                </c:pt>
                <c:pt idx="133">
                  <c:v>-640.46132998671862</c:v>
                </c:pt>
                <c:pt idx="134">
                  <c:v>8.5913300908765452E-12</c:v>
                </c:pt>
                <c:pt idx="135">
                  <c:v>8.5913300908765452E-12</c:v>
                </c:pt>
                <c:pt idx="136">
                  <c:v>-114.29912237149365</c:v>
                </c:pt>
                <c:pt idx="137">
                  <c:v>-571.50063526205247</c:v>
                </c:pt>
                <c:pt idx="138">
                  <c:v>7.4892634585309151E-12</c:v>
                </c:pt>
                <c:pt idx="139">
                  <c:v>7.4892634585309151E-12</c:v>
                </c:pt>
                <c:pt idx="140">
                  <c:v>-99.637219320442199</c:v>
                </c:pt>
                <c:pt idx="141">
                  <c:v>-498.19047562152372</c:v>
                </c:pt>
                <c:pt idx="142">
                  <c:v>-1.4750969436624541E-11</c:v>
                </c:pt>
                <c:pt idx="143">
                  <c:v>-1.4750969436624541E-11</c:v>
                </c:pt>
                <c:pt idx="144">
                  <c:v>196.24701215069851</c:v>
                </c:pt>
                <c:pt idx="145">
                  <c:v>981.24368573783204</c:v>
                </c:pt>
                <c:pt idx="146">
                  <c:v>-1.4921529100001495E-11</c:v>
                </c:pt>
                <c:pt idx="147">
                  <c:v>-1.4921529100001495E-11</c:v>
                </c:pt>
                <c:pt idx="148">
                  <c:v>198.51613923925791</c:v>
                </c:pt>
                <c:pt idx="149">
                  <c:v>992.58942090793391</c:v>
                </c:pt>
                <c:pt idx="150">
                  <c:v>-1.4978526917061833E-11</c:v>
                </c:pt>
                <c:pt idx="151">
                  <c:v>-1.4978526917061833E-11</c:v>
                </c:pt>
                <c:pt idx="152">
                  <c:v>199.27443864088443</c:v>
                </c:pt>
                <c:pt idx="153">
                  <c:v>996.38095124304755</c:v>
                </c:pt>
                <c:pt idx="154">
                  <c:v>5.1229579229808851E-12</c:v>
                </c:pt>
                <c:pt idx="155">
                  <c:v>5.1229579229808851E-12</c:v>
                </c:pt>
                <c:pt idx="156">
                  <c:v>-68.155872065097597</c:v>
                </c:pt>
                <c:pt idx="157">
                  <c:v>-340.78235575111393</c:v>
                </c:pt>
                <c:pt idx="158">
                  <c:v>6.3301990091249339E-12</c:v>
                </c:pt>
                <c:pt idx="159">
                  <c:v>6.3301990091249339E-12</c:v>
                </c:pt>
                <c:pt idx="160">
                  <c:v>-84.217016867764031</c:v>
                </c:pt>
                <c:pt idx="161">
                  <c:v>-421.08878564588031</c:v>
                </c:pt>
                <c:pt idx="162">
                  <c:v>7.4892634585309232E-12</c:v>
                </c:pt>
                <c:pt idx="163">
                  <c:v>7.4892634585309232E-12</c:v>
                </c:pt>
                <c:pt idx="164">
                  <c:v>-99.637219320442298</c:v>
                </c:pt>
                <c:pt idx="165">
                  <c:v>-498.19047562152423</c:v>
                </c:pt>
                <c:pt idx="166">
                  <c:v>9.6280115136436858E-12</c:v>
                </c:pt>
                <c:pt idx="167">
                  <c:v>9.6280115136436858E-12</c:v>
                </c:pt>
                <c:pt idx="168">
                  <c:v>-128.09114008560132</c:v>
                </c:pt>
                <c:pt idx="169">
                  <c:v>-640.46132998672022</c:v>
                </c:pt>
                <c:pt idx="170">
                  <c:v>8.5913300908765484E-12</c:v>
                </c:pt>
                <c:pt idx="171">
                  <c:v>8.5913300908765484E-12</c:v>
                </c:pt>
                <c:pt idx="172">
                  <c:v>-114.2991223714937</c:v>
                </c:pt>
                <c:pt idx="173">
                  <c:v>-571.5006352620527</c:v>
                </c:pt>
                <c:pt idx="174">
                  <c:v>7.489263458530941E-12</c:v>
                </c:pt>
                <c:pt idx="175">
                  <c:v>7.489263458530941E-12</c:v>
                </c:pt>
                <c:pt idx="176">
                  <c:v>-99.63721932044254</c:v>
                </c:pt>
                <c:pt idx="177">
                  <c:v>-498.19047562152542</c:v>
                </c:pt>
                <c:pt idx="178">
                  <c:v>-1.4750969436624538E-11</c:v>
                </c:pt>
                <c:pt idx="179">
                  <c:v>-1.4750969436624538E-11</c:v>
                </c:pt>
                <c:pt idx="180">
                  <c:v>196.24701215069848</c:v>
                </c:pt>
                <c:pt idx="181">
                  <c:v>981.24368573783192</c:v>
                </c:pt>
                <c:pt idx="182">
                  <c:v>-1.4921529100001498E-11</c:v>
                </c:pt>
                <c:pt idx="183">
                  <c:v>-1.4921529100001498E-11</c:v>
                </c:pt>
                <c:pt idx="184">
                  <c:v>198.51613923925797</c:v>
                </c:pt>
                <c:pt idx="185">
                  <c:v>992.58942090793414</c:v>
                </c:pt>
                <c:pt idx="186">
                  <c:v>-1.4978526917061833E-11</c:v>
                </c:pt>
                <c:pt idx="187">
                  <c:v>-1.4978526917061833E-11</c:v>
                </c:pt>
                <c:pt idx="188">
                  <c:v>199.27443864088443</c:v>
                </c:pt>
                <c:pt idx="189">
                  <c:v>996.38095124304755</c:v>
                </c:pt>
                <c:pt idx="190">
                  <c:v>5.1229579229808818E-12</c:v>
                </c:pt>
                <c:pt idx="191">
                  <c:v>5.1229579229808818E-12</c:v>
                </c:pt>
                <c:pt idx="192">
                  <c:v>-68.155872065097554</c:v>
                </c:pt>
                <c:pt idx="193">
                  <c:v>-340.7823557511137</c:v>
                </c:pt>
                <c:pt idx="194">
                  <c:v>6.3301990091249307E-12</c:v>
                </c:pt>
                <c:pt idx="195">
                  <c:v>6.3301990091249307E-12</c:v>
                </c:pt>
                <c:pt idx="196">
                  <c:v>-84.217016867763988</c:v>
                </c:pt>
                <c:pt idx="197">
                  <c:v>-421.08878564588008</c:v>
                </c:pt>
                <c:pt idx="198">
                  <c:v>7.48926345853092E-12</c:v>
                </c:pt>
                <c:pt idx="199">
                  <c:v>7.48926345853092E-12</c:v>
                </c:pt>
                <c:pt idx="200">
                  <c:v>-99.637219320442256</c:v>
                </c:pt>
                <c:pt idx="201">
                  <c:v>-498.190475621524</c:v>
                </c:pt>
                <c:pt idx="202">
                  <c:v>9.6280115136436874E-12</c:v>
                </c:pt>
                <c:pt idx="203">
                  <c:v>9.6280115136436874E-12</c:v>
                </c:pt>
                <c:pt idx="204">
                  <c:v>-128.09114008560135</c:v>
                </c:pt>
                <c:pt idx="205">
                  <c:v>-640.46132998672033</c:v>
                </c:pt>
              </c:numCache>
            </c:numRef>
          </c:xVal>
          <c:yVal>
            <c:numRef>
              <c:f>Vis!$Y$5:$Y$210</c:f>
              <c:numCache>
                <c:formatCode>0.00</c:formatCode>
                <c:ptCount val="206"/>
                <c:pt idx="1">
                  <c:v>292.38489015081672</c:v>
                </c:pt>
                <c:pt idx="2">
                  <c:v>211.64753875747465</c:v>
                </c:pt>
                <c:pt idx="4">
                  <c:v>211.64753875747465</c:v>
                </c:pt>
                <c:pt idx="5">
                  <c:v>130.91018736413258</c:v>
                </c:pt>
                <c:pt idx="9">
                  <c:v>292.38489015081672</c:v>
                </c:pt>
                <c:pt idx="10">
                  <c:v>211.64753875747465</c:v>
                </c:pt>
                <c:pt idx="12">
                  <c:v>211.64753875747465</c:v>
                </c:pt>
                <c:pt idx="13">
                  <c:v>130.91018736413258</c:v>
                </c:pt>
                <c:pt idx="16" formatCode="General">
                  <c:v>#N/A</c:v>
                </c:pt>
                <c:pt idx="17" formatCode="General">
                  <c:v>#N/A</c:v>
                </c:pt>
                <c:pt idx="18" formatCode="General">
                  <c:v>#N/A</c:v>
                </c:pt>
                <c:pt idx="19" formatCode="General">
                  <c:v>#N/A</c:v>
                </c:pt>
                <c:pt idx="20" formatCode="General">
                  <c:v>#N/A</c:v>
                </c:pt>
                <c:pt idx="21" formatCode="General">
                  <c:v>#N/A</c:v>
                </c:pt>
                <c:pt idx="22" formatCode="General">
                  <c:v>#N/A</c:v>
                </c:pt>
                <c:pt idx="23" formatCode="General">
                  <c:v>#N/A</c:v>
                </c:pt>
                <c:pt idx="24" formatCode="General">
                  <c:v>#N/A</c:v>
                </c:pt>
                <c:pt idx="26" formatCode="General">
                  <c:v>#N/A</c:v>
                </c:pt>
                <c:pt idx="27" formatCode="General">
                  <c:v>#N/A</c:v>
                </c:pt>
                <c:pt idx="28" formatCode="General">
                  <c:v>#N/A</c:v>
                </c:pt>
                <c:pt idx="29" formatCode="General">
                  <c:v>#N/A</c:v>
                </c:pt>
                <c:pt idx="30" formatCode="General">
                  <c:v>#N/A</c:v>
                </c:pt>
                <c:pt idx="31" formatCode="General">
                  <c:v>#N/A</c:v>
                </c:pt>
                <c:pt idx="32" formatCode="General">
                  <c:v>#N/A</c:v>
                </c:pt>
                <c:pt idx="33" formatCode="General">
                  <c:v>#N/A</c:v>
                </c:pt>
                <c:pt idx="34" formatCode="General">
                  <c:v>#N/A</c:v>
                </c:pt>
                <c:pt idx="36" formatCode="General">
                  <c:v>#N/A</c:v>
                </c:pt>
                <c:pt idx="37" formatCode="General">
                  <c:v>#N/A</c:v>
                </c:pt>
                <c:pt idx="38" formatCode="General">
                  <c:v>#N/A</c:v>
                </c:pt>
                <c:pt idx="39" formatCode="General">
                  <c:v>#N/A</c:v>
                </c:pt>
                <c:pt idx="40" formatCode="General">
                  <c:v>#N/A</c:v>
                </c:pt>
                <c:pt idx="41" formatCode="General">
                  <c:v>#N/A</c:v>
                </c:pt>
                <c:pt idx="42" formatCode="General">
                  <c:v>#N/A</c:v>
                </c:pt>
                <c:pt idx="43" formatCode="General">
                  <c:v>#N/A</c:v>
                </c:pt>
                <c:pt idx="44" formatCode="General">
                  <c:v>#N/A</c:v>
                </c:pt>
                <c:pt idx="47">
                  <c:v>-1.4075211214206106E-11</c:v>
                </c:pt>
                <c:pt idx="48">
                  <c:v>187.25671950209338</c:v>
                </c:pt>
                <c:pt idx="51">
                  <c:v>-1.3575155583271204E-11</c:v>
                </c:pt>
                <c:pt idx="52">
                  <c:v>180.60397549759065</c:v>
                </c:pt>
                <c:pt idx="55">
                  <c:v>-1.2971784821444557E-11</c:v>
                </c:pt>
                <c:pt idx="56">
                  <c:v>172.57672618788928</c:v>
                </c:pt>
                <c:pt idx="59">
                  <c:v>1.1474217310923254E-11</c:v>
                </c:pt>
                <c:pt idx="60">
                  <c:v>-152.65307637650326</c:v>
                </c:pt>
                <c:pt idx="63">
                  <c:v>1.226969094454889E-11</c:v>
                </c:pt>
                <c:pt idx="64">
                  <c:v>-163.23606378722175</c:v>
                </c:pt>
                <c:pt idx="67">
                  <c:v>1.2971784821444557E-11</c:v>
                </c:pt>
                <c:pt idx="68">
                  <c:v>-172.57672618788928</c:v>
                </c:pt>
                <c:pt idx="71">
                  <c:v>2.6009939032828505E-12</c:v>
                </c:pt>
                <c:pt idx="72">
                  <c:v>-34.603643125590096</c:v>
                </c:pt>
                <c:pt idx="75">
                  <c:v>1.3054646387223149E-12</c:v>
                </c:pt>
                <c:pt idx="76">
                  <c:v>-17.367911710368922</c:v>
                </c:pt>
                <c:pt idx="79">
                  <c:v>1.835091910924548E-27</c:v>
                </c:pt>
                <c:pt idx="80">
                  <c:v>-2.4414077060366216E-14</c:v>
                </c:pt>
                <c:pt idx="83">
                  <c:v>-1.4075211214206106E-11</c:v>
                </c:pt>
                <c:pt idx="84">
                  <c:v>187.25671950209338</c:v>
                </c:pt>
                <c:pt idx="87">
                  <c:v>-1.3575155583271204E-11</c:v>
                </c:pt>
                <c:pt idx="88">
                  <c:v>180.60397549759065</c:v>
                </c:pt>
                <c:pt idx="91">
                  <c:v>-1.2971784821444557E-11</c:v>
                </c:pt>
                <c:pt idx="92">
                  <c:v>172.57672618788928</c:v>
                </c:pt>
                <c:pt idx="95">
                  <c:v>1.1474217310923251E-11</c:v>
                </c:pt>
                <c:pt idx="96">
                  <c:v>-152.65307637650321</c:v>
                </c:pt>
                <c:pt idx="99">
                  <c:v>1.2269690944548886E-11</c:v>
                </c:pt>
                <c:pt idx="100">
                  <c:v>-163.23606378722167</c:v>
                </c:pt>
                <c:pt idx="103">
                  <c:v>1.297178482144456E-11</c:v>
                </c:pt>
                <c:pt idx="104">
                  <c:v>-172.57672618788931</c:v>
                </c:pt>
                <c:pt idx="107">
                  <c:v>2.6009939032828541E-12</c:v>
                </c:pt>
                <c:pt idx="108">
                  <c:v>-34.603643125590139</c:v>
                </c:pt>
                <c:pt idx="111">
                  <c:v>1.3054646387223187E-12</c:v>
                </c:pt>
                <c:pt idx="112">
                  <c:v>-17.367911710368972</c:v>
                </c:pt>
                <c:pt idx="115">
                  <c:v>5.5052757327736444E-27</c:v>
                </c:pt>
                <c:pt idx="116">
                  <c:v>-7.3242231181098641E-14</c:v>
                </c:pt>
                <c:pt idx="119">
                  <c:v>-1.4075211214206111E-11</c:v>
                </c:pt>
                <c:pt idx="120">
                  <c:v>187.25671950209343</c:v>
                </c:pt>
                <c:pt idx="123">
                  <c:v>-1.3575155583271211E-11</c:v>
                </c:pt>
                <c:pt idx="124">
                  <c:v>180.60397549759074</c:v>
                </c:pt>
                <c:pt idx="127">
                  <c:v>-1.2971784821444565E-11</c:v>
                </c:pt>
                <c:pt idx="128">
                  <c:v>172.57672618788939</c:v>
                </c:pt>
                <c:pt idx="131">
                  <c:v>1.1474217310923258E-11</c:v>
                </c:pt>
                <c:pt idx="132">
                  <c:v>-152.65307637650332</c:v>
                </c:pt>
                <c:pt idx="135">
                  <c:v>1.2269690944548892E-11</c:v>
                </c:pt>
                <c:pt idx="136">
                  <c:v>-163.23606378722175</c:v>
                </c:pt>
                <c:pt idx="139">
                  <c:v>1.2971784821444558E-11</c:v>
                </c:pt>
                <c:pt idx="140">
                  <c:v>-172.57672618788928</c:v>
                </c:pt>
                <c:pt idx="143">
                  <c:v>2.6009939032828577E-12</c:v>
                </c:pt>
                <c:pt idx="144">
                  <c:v>-34.603643125590189</c:v>
                </c:pt>
                <c:pt idx="147">
                  <c:v>1.3054646387223221E-12</c:v>
                </c:pt>
                <c:pt idx="148">
                  <c:v>-17.367911710369018</c:v>
                </c:pt>
                <c:pt idx="151">
                  <c:v>9.1754595546227397E-27</c:v>
                </c:pt>
                <c:pt idx="152">
                  <c:v>-1.2207038530183109E-13</c:v>
                </c:pt>
                <c:pt idx="155">
                  <c:v>-1.4075211214206103E-11</c:v>
                </c:pt>
                <c:pt idx="156">
                  <c:v>187.25671950209332</c:v>
                </c:pt>
                <c:pt idx="159">
                  <c:v>-1.3575155583271214E-11</c:v>
                </c:pt>
                <c:pt idx="160">
                  <c:v>180.60397549759077</c:v>
                </c:pt>
                <c:pt idx="163">
                  <c:v>-1.2971784821444553E-11</c:v>
                </c:pt>
                <c:pt idx="164">
                  <c:v>172.57672618788922</c:v>
                </c:pt>
                <c:pt idx="167">
                  <c:v>1.1474217310923238E-11</c:v>
                </c:pt>
                <c:pt idx="168">
                  <c:v>-152.65307637650304</c:v>
                </c:pt>
                <c:pt idx="171">
                  <c:v>1.2269690944548889E-11</c:v>
                </c:pt>
                <c:pt idx="172">
                  <c:v>-163.23606378722172</c:v>
                </c:pt>
                <c:pt idx="175">
                  <c:v>1.2971784821444544E-11</c:v>
                </c:pt>
                <c:pt idx="176">
                  <c:v>-172.57672618788908</c:v>
                </c:pt>
                <c:pt idx="179">
                  <c:v>2.6009939032828614E-12</c:v>
                </c:pt>
                <c:pt idx="180">
                  <c:v>-34.603643125590239</c:v>
                </c:pt>
                <c:pt idx="183">
                  <c:v>1.3054646387222993E-12</c:v>
                </c:pt>
                <c:pt idx="184">
                  <c:v>-17.367911710368713</c:v>
                </c:pt>
                <c:pt idx="187">
                  <c:v>1.2845643376471836E-26</c:v>
                </c:pt>
                <c:pt idx="188">
                  <c:v>-1.708985394225635E-13</c:v>
                </c:pt>
                <c:pt idx="191">
                  <c:v>-1.4075211214206104E-11</c:v>
                </c:pt>
                <c:pt idx="192">
                  <c:v>187.25671950209335</c:v>
                </c:pt>
                <c:pt idx="195">
                  <c:v>-1.3575155583271216E-11</c:v>
                </c:pt>
                <c:pt idx="196">
                  <c:v>180.60397549759077</c:v>
                </c:pt>
                <c:pt idx="199">
                  <c:v>-1.2971784821444555E-11</c:v>
                </c:pt>
                <c:pt idx="200">
                  <c:v>172.57672618788925</c:v>
                </c:pt>
                <c:pt idx="203">
                  <c:v>1.1474217310923237E-11</c:v>
                </c:pt>
                <c:pt idx="204">
                  <c:v>-152.65307637650301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B6A2-4DF4-B2D6-F793F90E9461}"/>
            </c:ext>
          </c:extLst>
        </c:ser>
        <c:ser>
          <c:idx val="17"/>
          <c:order val="7"/>
          <c:tx>
            <c:strRef>
              <c:f>Vis!$X$4</c:f>
              <c:strCache>
                <c:ptCount val="1"/>
                <c:pt idx="0">
                  <c:v>Depth &lt; Draft</c:v>
                </c:pt>
              </c:strCache>
            </c:strRef>
          </c:tx>
          <c:marker>
            <c:symbol val="none"/>
          </c:marker>
          <c:xVal>
            <c:numRef>
              <c:f>Vis!$W$5:$W$210</c:f>
              <c:numCache>
                <c:formatCode>0.00</c:formatCode>
                <c:ptCount val="206"/>
                <c:pt idx="0">
                  <c:v>693.29545891729799</c:v>
                </c:pt>
                <c:pt idx="1">
                  <c:v>562.38515359891653</c:v>
                </c:pt>
                <c:pt idx="2">
                  <c:v>481.647729458649</c:v>
                </c:pt>
                <c:pt idx="3">
                  <c:v>693.29545891729799</c:v>
                </c:pt>
                <c:pt idx="4">
                  <c:v>481.647729458649</c:v>
                </c:pt>
                <c:pt idx="5">
                  <c:v>400.91030531838152</c:v>
                </c:pt>
                <c:pt idx="6">
                  <c:v>269.99999999999966</c:v>
                </c:pt>
                <c:pt idx="8">
                  <c:v>693.29545891729799</c:v>
                </c:pt>
                <c:pt idx="9">
                  <c:v>562.38515359891653</c:v>
                </c:pt>
                <c:pt idx="10">
                  <c:v>481.647729458649</c:v>
                </c:pt>
                <c:pt idx="11">
                  <c:v>693.29545891729799</c:v>
                </c:pt>
                <c:pt idx="12">
                  <c:v>481.647729458649</c:v>
                </c:pt>
                <c:pt idx="13">
                  <c:v>400.91030531838152</c:v>
                </c:pt>
                <c:pt idx="14">
                  <c:v>269.99999999999966</c:v>
                </c:pt>
                <c:pt idx="16" formatCode="General">
                  <c:v>-42.752517915708587</c:v>
                </c:pt>
                <c:pt idx="17" formatCode="General">
                  <c:v>-35.681450103843112</c:v>
                </c:pt>
                <c:pt idx="18" formatCode="General">
                  <c:v>-32.752517915708587</c:v>
                </c:pt>
                <c:pt idx="19" formatCode="General">
                  <c:v>-35.681450103843112</c:v>
                </c:pt>
                <c:pt idx="20" formatCode="General">
                  <c:v>-42.752517915708587</c:v>
                </c:pt>
                <c:pt idx="21" formatCode="General">
                  <c:v>-49.823585727574063</c:v>
                </c:pt>
                <c:pt idx="22" formatCode="General">
                  <c:v>-52.752517915708587</c:v>
                </c:pt>
                <c:pt idx="23" formatCode="General">
                  <c:v>-49.823585727574063</c:v>
                </c:pt>
                <c:pt idx="24" formatCode="General">
                  <c:v>-42.752517915708587</c:v>
                </c:pt>
                <c:pt idx="26" formatCode="General">
                  <c:v>-187.93852415718166</c:v>
                </c:pt>
                <c:pt idx="27" formatCode="General">
                  <c:v>-177.33192243938345</c:v>
                </c:pt>
                <c:pt idx="28" formatCode="General">
                  <c:v>-172.93852415718166</c:v>
                </c:pt>
                <c:pt idx="29" formatCode="General">
                  <c:v>-177.33192243938345</c:v>
                </c:pt>
                <c:pt idx="30" formatCode="General">
                  <c:v>-187.93852415718166</c:v>
                </c:pt>
                <c:pt idx="31" formatCode="General">
                  <c:v>-198.54512587497987</c:v>
                </c:pt>
                <c:pt idx="32" formatCode="General">
                  <c:v>-202.93852415718166</c:v>
                </c:pt>
                <c:pt idx="33" formatCode="General">
                  <c:v>-198.54512587497987</c:v>
                </c:pt>
                <c:pt idx="34" formatCode="General">
                  <c:v>-187.93852415718166</c:v>
                </c:pt>
                <c:pt idx="36" formatCode="General">
                  <c:v>281.90778623577251</c:v>
                </c:pt>
                <c:pt idx="37" formatCode="General">
                  <c:v>296.04992185950346</c:v>
                </c:pt>
                <c:pt idx="38" formatCode="General">
                  <c:v>301.90778623577251</c:v>
                </c:pt>
                <c:pt idx="39" formatCode="General">
                  <c:v>296.04992185950346</c:v>
                </c:pt>
                <c:pt idx="40" formatCode="General">
                  <c:v>281.90778623577251</c:v>
                </c:pt>
                <c:pt idx="41" formatCode="General">
                  <c:v>267.76565061204155</c:v>
                </c:pt>
                <c:pt idx="42" formatCode="General">
                  <c:v>261.90778623577251</c:v>
                </c:pt>
                <c:pt idx="43" formatCode="General">
                  <c:v>267.76565061204155</c:v>
                </c:pt>
                <c:pt idx="44" formatCode="General">
                  <c:v>281.90778623577251</c:v>
                </c:pt>
                <c:pt idx="46">
                  <c:v>5.122957922980877E-12</c:v>
                </c:pt>
                <c:pt idx="47">
                  <c:v>5.122957922980877E-12</c:v>
                </c:pt>
                <c:pt idx="48">
                  <c:v>-68.155872065097483</c:v>
                </c:pt>
                <c:pt idx="49">
                  <c:v>-340.78235575111336</c:v>
                </c:pt>
                <c:pt idx="50">
                  <c:v>6.3301990091249501E-12</c:v>
                </c:pt>
                <c:pt idx="51">
                  <c:v>6.3301990091249501E-12</c:v>
                </c:pt>
                <c:pt idx="52">
                  <c:v>-84.217016867764244</c:v>
                </c:pt>
                <c:pt idx="53">
                  <c:v>-421.08878564588133</c:v>
                </c:pt>
                <c:pt idx="54">
                  <c:v>7.4892634585309183E-12</c:v>
                </c:pt>
                <c:pt idx="55">
                  <c:v>7.4892634585309183E-12</c:v>
                </c:pt>
                <c:pt idx="56">
                  <c:v>-99.637219320442242</c:v>
                </c:pt>
                <c:pt idx="57">
                  <c:v>-498.19047562152389</c:v>
                </c:pt>
                <c:pt idx="58">
                  <c:v>9.6280115136436648E-12</c:v>
                </c:pt>
                <c:pt idx="59">
                  <c:v>9.6280115136436648E-12</c:v>
                </c:pt>
                <c:pt idx="60">
                  <c:v>-128.09114008560107</c:v>
                </c:pt>
                <c:pt idx="61">
                  <c:v>-640.46132998671885</c:v>
                </c:pt>
                <c:pt idx="62">
                  <c:v>8.5913300908765484E-12</c:v>
                </c:pt>
                <c:pt idx="63">
                  <c:v>8.5913300908765484E-12</c:v>
                </c:pt>
                <c:pt idx="64">
                  <c:v>-114.2991223714937</c:v>
                </c:pt>
                <c:pt idx="65">
                  <c:v>-571.5006352620527</c:v>
                </c:pt>
                <c:pt idx="66">
                  <c:v>7.4892634585309183E-12</c:v>
                </c:pt>
                <c:pt idx="67">
                  <c:v>7.4892634585309183E-12</c:v>
                </c:pt>
                <c:pt idx="68">
                  <c:v>-99.637219320442242</c:v>
                </c:pt>
                <c:pt idx="69">
                  <c:v>-498.19047562152389</c:v>
                </c:pt>
                <c:pt idx="70">
                  <c:v>-1.4750969436624541E-11</c:v>
                </c:pt>
                <c:pt idx="71">
                  <c:v>-1.4750969436624541E-11</c:v>
                </c:pt>
                <c:pt idx="72">
                  <c:v>196.24701215069851</c:v>
                </c:pt>
                <c:pt idx="73">
                  <c:v>981.24368573783204</c:v>
                </c:pt>
                <c:pt idx="74">
                  <c:v>-1.4921529100001498E-11</c:v>
                </c:pt>
                <c:pt idx="75">
                  <c:v>-1.4921529100001498E-11</c:v>
                </c:pt>
                <c:pt idx="76">
                  <c:v>198.51613923925794</c:v>
                </c:pt>
                <c:pt idx="77">
                  <c:v>992.58942090793403</c:v>
                </c:pt>
                <c:pt idx="78">
                  <c:v>-1.4978526917061833E-11</c:v>
                </c:pt>
                <c:pt idx="79">
                  <c:v>-1.4978526917061833E-11</c:v>
                </c:pt>
                <c:pt idx="80">
                  <c:v>199.27443864088443</c:v>
                </c:pt>
                <c:pt idx="81">
                  <c:v>996.38095124304755</c:v>
                </c:pt>
                <c:pt idx="82">
                  <c:v>5.1229579229808794E-12</c:v>
                </c:pt>
                <c:pt idx="83">
                  <c:v>5.1229579229808794E-12</c:v>
                </c:pt>
                <c:pt idx="84">
                  <c:v>-68.155872065097526</c:v>
                </c:pt>
                <c:pt idx="85">
                  <c:v>-340.78235575111353</c:v>
                </c:pt>
                <c:pt idx="86">
                  <c:v>6.3301990091249525E-12</c:v>
                </c:pt>
                <c:pt idx="87">
                  <c:v>6.3301990091249525E-12</c:v>
                </c:pt>
                <c:pt idx="88">
                  <c:v>-84.217016867764272</c:v>
                </c:pt>
                <c:pt idx="89">
                  <c:v>-421.0887856458815</c:v>
                </c:pt>
                <c:pt idx="90">
                  <c:v>7.4892634585309183E-12</c:v>
                </c:pt>
                <c:pt idx="91">
                  <c:v>7.4892634585309183E-12</c:v>
                </c:pt>
                <c:pt idx="92">
                  <c:v>-99.637219320442242</c:v>
                </c:pt>
                <c:pt idx="93">
                  <c:v>-498.19047562152389</c:v>
                </c:pt>
                <c:pt idx="94">
                  <c:v>9.6280115136436696E-12</c:v>
                </c:pt>
                <c:pt idx="95">
                  <c:v>9.6280115136436696E-12</c:v>
                </c:pt>
                <c:pt idx="96">
                  <c:v>-128.0911400856011</c:v>
                </c:pt>
                <c:pt idx="97">
                  <c:v>-640.46132998671908</c:v>
                </c:pt>
                <c:pt idx="98">
                  <c:v>8.5913300908765532E-12</c:v>
                </c:pt>
                <c:pt idx="99">
                  <c:v>8.5913300908765532E-12</c:v>
                </c:pt>
                <c:pt idx="100">
                  <c:v>-114.29912237149377</c:v>
                </c:pt>
                <c:pt idx="101">
                  <c:v>-571.50063526205304</c:v>
                </c:pt>
                <c:pt idx="102">
                  <c:v>7.4892634585309119E-12</c:v>
                </c:pt>
                <c:pt idx="103">
                  <c:v>7.4892634585309119E-12</c:v>
                </c:pt>
                <c:pt idx="104">
                  <c:v>-99.637219320442156</c:v>
                </c:pt>
                <c:pt idx="105">
                  <c:v>-498.19047562152349</c:v>
                </c:pt>
                <c:pt idx="106">
                  <c:v>-1.4750969436624541E-11</c:v>
                </c:pt>
                <c:pt idx="107">
                  <c:v>-1.4750969436624541E-11</c:v>
                </c:pt>
                <c:pt idx="108">
                  <c:v>196.24701215069851</c:v>
                </c:pt>
                <c:pt idx="109">
                  <c:v>981.24368573783204</c:v>
                </c:pt>
                <c:pt idx="110">
                  <c:v>-1.4921529100001498E-11</c:v>
                </c:pt>
                <c:pt idx="111">
                  <c:v>-1.4921529100001498E-11</c:v>
                </c:pt>
                <c:pt idx="112">
                  <c:v>198.51613923925794</c:v>
                </c:pt>
                <c:pt idx="113">
                  <c:v>992.58942090793403</c:v>
                </c:pt>
                <c:pt idx="114">
                  <c:v>-1.4978526917061833E-11</c:v>
                </c:pt>
                <c:pt idx="115">
                  <c:v>-1.4978526917061833E-11</c:v>
                </c:pt>
                <c:pt idx="116">
                  <c:v>199.27443864088443</c:v>
                </c:pt>
                <c:pt idx="117">
                  <c:v>996.38095124304755</c:v>
                </c:pt>
                <c:pt idx="118">
                  <c:v>5.1229579229808633E-12</c:v>
                </c:pt>
                <c:pt idx="119">
                  <c:v>5.1229579229808633E-12</c:v>
                </c:pt>
                <c:pt idx="120">
                  <c:v>-68.155872065097313</c:v>
                </c:pt>
                <c:pt idx="121">
                  <c:v>-340.7823557511125</c:v>
                </c:pt>
                <c:pt idx="122">
                  <c:v>6.3301990091249372E-12</c:v>
                </c:pt>
                <c:pt idx="123">
                  <c:v>6.3301990091249372E-12</c:v>
                </c:pt>
                <c:pt idx="124">
                  <c:v>-84.217016867764073</c:v>
                </c:pt>
                <c:pt idx="125">
                  <c:v>-421.08878564588053</c:v>
                </c:pt>
                <c:pt idx="126">
                  <c:v>7.4892634585309038E-12</c:v>
                </c:pt>
                <c:pt idx="127">
                  <c:v>7.4892634585309038E-12</c:v>
                </c:pt>
                <c:pt idx="128">
                  <c:v>-99.637219320442043</c:v>
                </c:pt>
                <c:pt idx="129">
                  <c:v>-498.19047562152286</c:v>
                </c:pt>
                <c:pt idx="130">
                  <c:v>9.6280115136436616E-12</c:v>
                </c:pt>
                <c:pt idx="131">
                  <c:v>9.6280115136436616E-12</c:v>
                </c:pt>
                <c:pt idx="132">
                  <c:v>-128.09114008560101</c:v>
                </c:pt>
                <c:pt idx="133">
                  <c:v>-640.46132998671862</c:v>
                </c:pt>
                <c:pt idx="134">
                  <c:v>8.5913300908765452E-12</c:v>
                </c:pt>
                <c:pt idx="135">
                  <c:v>8.5913300908765452E-12</c:v>
                </c:pt>
                <c:pt idx="136">
                  <c:v>-114.29912237149365</c:v>
                </c:pt>
                <c:pt idx="137">
                  <c:v>-571.50063526205247</c:v>
                </c:pt>
                <c:pt idx="138">
                  <c:v>7.4892634585309151E-12</c:v>
                </c:pt>
                <c:pt idx="139">
                  <c:v>7.4892634585309151E-12</c:v>
                </c:pt>
                <c:pt idx="140">
                  <c:v>-99.637219320442199</c:v>
                </c:pt>
                <c:pt idx="141">
                  <c:v>-498.19047562152372</c:v>
                </c:pt>
                <c:pt idx="142">
                  <c:v>-1.4750969436624541E-11</c:v>
                </c:pt>
                <c:pt idx="143">
                  <c:v>-1.4750969436624541E-11</c:v>
                </c:pt>
                <c:pt idx="144">
                  <c:v>196.24701215069851</c:v>
                </c:pt>
                <c:pt idx="145">
                  <c:v>981.24368573783204</c:v>
                </c:pt>
                <c:pt idx="146">
                  <c:v>-1.4921529100001495E-11</c:v>
                </c:pt>
                <c:pt idx="147">
                  <c:v>-1.4921529100001495E-11</c:v>
                </c:pt>
                <c:pt idx="148">
                  <c:v>198.51613923925791</c:v>
                </c:pt>
                <c:pt idx="149">
                  <c:v>992.58942090793391</c:v>
                </c:pt>
                <c:pt idx="150">
                  <c:v>-1.4978526917061833E-11</c:v>
                </c:pt>
                <c:pt idx="151">
                  <c:v>-1.4978526917061833E-11</c:v>
                </c:pt>
                <c:pt idx="152">
                  <c:v>199.27443864088443</c:v>
                </c:pt>
                <c:pt idx="153">
                  <c:v>996.38095124304755</c:v>
                </c:pt>
                <c:pt idx="154">
                  <c:v>5.1229579229808851E-12</c:v>
                </c:pt>
                <c:pt idx="155">
                  <c:v>5.1229579229808851E-12</c:v>
                </c:pt>
                <c:pt idx="156">
                  <c:v>-68.155872065097597</c:v>
                </c:pt>
                <c:pt idx="157">
                  <c:v>-340.78235575111393</c:v>
                </c:pt>
                <c:pt idx="158">
                  <c:v>6.3301990091249339E-12</c:v>
                </c:pt>
                <c:pt idx="159">
                  <c:v>6.3301990091249339E-12</c:v>
                </c:pt>
                <c:pt idx="160">
                  <c:v>-84.217016867764031</c:v>
                </c:pt>
                <c:pt idx="161">
                  <c:v>-421.08878564588031</c:v>
                </c:pt>
                <c:pt idx="162">
                  <c:v>7.4892634585309232E-12</c:v>
                </c:pt>
                <c:pt idx="163">
                  <c:v>7.4892634585309232E-12</c:v>
                </c:pt>
                <c:pt idx="164">
                  <c:v>-99.637219320442298</c:v>
                </c:pt>
                <c:pt idx="165">
                  <c:v>-498.19047562152423</c:v>
                </c:pt>
                <c:pt idx="166">
                  <c:v>9.6280115136436858E-12</c:v>
                </c:pt>
                <c:pt idx="167">
                  <c:v>9.6280115136436858E-12</c:v>
                </c:pt>
                <c:pt idx="168">
                  <c:v>-128.09114008560132</c:v>
                </c:pt>
                <c:pt idx="169">
                  <c:v>-640.46132998672022</c:v>
                </c:pt>
                <c:pt idx="170">
                  <c:v>8.5913300908765484E-12</c:v>
                </c:pt>
                <c:pt idx="171">
                  <c:v>8.5913300908765484E-12</c:v>
                </c:pt>
                <c:pt idx="172">
                  <c:v>-114.2991223714937</c:v>
                </c:pt>
                <c:pt idx="173">
                  <c:v>-571.5006352620527</c:v>
                </c:pt>
                <c:pt idx="174">
                  <c:v>7.489263458530941E-12</c:v>
                </c:pt>
                <c:pt idx="175">
                  <c:v>7.489263458530941E-12</c:v>
                </c:pt>
                <c:pt idx="176">
                  <c:v>-99.63721932044254</c:v>
                </c:pt>
                <c:pt idx="177">
                  <c:v>-498.19047562152542</c:v>
                </c:pt>
                <c:pt idx="178">
                  <c:v>-1.4750969436624538E-11</c:v>
                </c:pt>
                <c:pt idx="179">
                  <c:v>-1.4750969436624538E-11</c:v>
                </c:pt>
                <c:pt idx="180">
                  <c:v>196.24701215069848</c:v>
                </c:pt>
                <c:pt idx="181">
                  <c:v>981.24368573783192</c:v>
                </c:pt>
                <c:pt idx="182">
                  <c:v>-1.4921529100001498E-11</c:v>
                </c:pt>
                <c:pt idx="183">
                  <c:v>-1.4921529100001498E-11</c:v>
                </c:pt>
                <c:pt idx="184">
                  <c:v>198.51613923925797</c:v>
                </c:pt>
                <c:pt idx="185">
                  <c:v>992.58942090793414</c:v>
                </c:pt>
                <c:pt idx="186">
                  <c:v>-1.4978526917061833E-11</c:v>
                </c:pt>
                <c:pt idx="187">
                  <c:v>-1.4978526917061833E-11</c:v>
                </c:pt>
                <c:pt idx="188">
                  <c:v>199.27443864088443</c:v>
                </c:pt>
                <c:pt idx="189">
                  <c:v>996.38095124304755</c:v>
                </c:pt>
                <c:pt idx="190">
                  <c:v>5.1229579229808818E-12</c:v>
                </c:pt>
                <c:pt idx="191">
                  <c:v>5.1229579229808818E-12</c:v>
                </c:pt>
                <c:pt idx="192">
                  <c:v>-68.155872065097554</c:v>
                </c:pt>
                <c:pt idx="193">
                  <c:v>-340.7823557511137</c:v>
                </c:pt>
                <c:pt idx="194">
                  <c:v>6.3301990091249307E-12</c:v>
                </c:pt>
                <c:pt idx="195">
                  <c:v>6.3301990091249307E-12</c:v>
                </c:pt>
                <c:pt idx="196">
                  <c:v>-84.217016867763988</c:v>
                </c:pt>
                <c:pt idx="197">
                  <c:v>-421.08878564588008</c:v>
                </c:pt>
                <c:pt idx="198">
                  <c:v>7.48926345853092E-12</c:v>
                </c:pt>
                <c:pt idx="199">
                  <c:v>7.48926345853092E-12</c:v>
                </c:pt>
                <c:pt idx="200">
                  <c:v>-99.637219320442256</c:v>
                </c:pt>
                <c:pt idx="201">
                  <c:v>-498.190475621524</c:v>
                </c:pt>
                <c:pt idx="202">
                  <c:v>9.6280115136436874E-12</c:v>
                </c:pt>
                <c:pt idx="203">
                  <c:v>9.6280115136436874E-12</c:v>
                </c:pt>
                <c:pt idx="204">
                  <c:v>-128.09114008560135</c:v>
                </c:pt>
                <c:pt idx="205">
                  <c:v>-640.46132998672033</c:v>
                </c:pt>
              </c:numCache>
            </c:numRef>
          </c:xVal>
          <c:yVal>
            <c:numRef>
              <c:f>Vis!$X$5:$X$210</c:f>
              <c:numCache>
                <c:formatCode>0.00</c:formatCode>
                <c:ptCount val="206"/>
                <c:pt idx="0">
                  <c:v>423.29507751494936</c:v>
                </c:pt>
                <c:pt idx="1">
                  <c:v>292.38489015081672</c:v>
                </c:pt>
                <c:pt idx="5">
                  <c:v>130.91018736413258</c:v>
                </c:pt>
                <c:pt idx="6">
                  <c:v>0</c:v>
                </c:pt>
                <c:pt idx="8">
                  <c:v>423.29507751494936</c:v>
                </c:pt>
                <c:pt idx="9">
                  <c:v>292.38489015081672</c:v>
                </c:pt>
                <c:pt idx="13">
                  <c:v>130.91018736413258</c:v>
                </c:pt>
                <c:pt idx="14">
                  <c:v>0</c:v>
                </c:pt>
                <c:pt idx="16" formatCode="General">
                  <c:v>#N/A</c:v>
                </c:pt>
                <c:pt idx="17" formatCode="General">
                  <c:v>#N/A</c:v>
                </c:pt>
                <c:pt idx="18" formatCode="General">
                  <c:v>#N/A</c:v>
                </c:pt>
                <c:pt idx="19" formatCode="General">
                  <c:v>#N/A</c:v>
                </c:pt>
                <c:pt idx="20" formatCode="General">
                  <c:v>#N/A</c:v>
                </c:pt>
                <c:pt idx="21" formatCode="General">
                  <c:v>#N/A</c:v>
                </c:pt>
                <c:pt idx="22" formatCode="General">
                  <c:v>#N/A</c:v>
                </c:pt>
                <c:pt idx="23" formatCode="General">
                  <c:v>#N/A</c:v>
                </c:pt>
                <c:pt idx="24" formatCode="General">
                  <c:v>#N/A</c:v>
                </c:pt>
                <c:pt idx="26" formatCode="General">
                  <c:v>#N/A</c:v>
                </c:pt>
                <c:pt idx="27" formatCode="General">
                  <c:v>#N/A</c:v>
                </c:pt>
                <c:pt idx="28" formatCode="General">
                  <c:v>#N/A</c:v>
                </c:pt>
                <c:pt idx="29" formatCode="General">
                  <c:v>#N/A</c:v>
                </c:pt>
                <c:pt idx="30" formatCode="General">
                  <c:v>#N/A</c:v>
                </c:pt>
                <c:pt idx="31" formatCode="General">
                  <c:v>#N/A</c:v>
                </c:pt>
                <c:pt idx="32" formatCode="General">
                  <c:v>#N/A</c:v>
                </c:pt>
                <c:pt idx="33" formatCode="General">
                  <c:v>#N/A</c:v>
                </c:pt>
                <c:pt idx="34" formatCode="General">
                  <c:v>#N/A</c:v>
                </c:pt>
                <c:pt idx="36" formatCode="General">
                  <c:v>#N/A</c:v>
                </c:pt>
                <c:pt idx="37" formatCode="General">
                  <c:v>#N/A</c:v>
                </c:pt>
                <c:pt idx="38" formatCode="General">
                  <c:v>#N/A</c:v>
                </c:pt>
                <c:pt idx="39" formatCode="General">
                  <c:v>#N/A</c:v>
                </c:pt>
                <c:pt idx="40" formatCode="General">
                  <c:v>#N/A</c:v>
                </c:pt>
                <c:pt idx="41" formatCode="General">
                  <c:v>#N/A</c:v>
                </c:pt>
                <c:pt idx="42" formatCode="General">
                  <c:v>#N/A</c:v>
                </c:pt>
                <c:pt idx="43" formatCode="General">
                  <c:v>#N/A</c:v>
                </c:pt>
                <c:pt idx="44" formatCode="General">
                  <c:v>#N/A</c:v>
                </c:pt>
                <c:pt idx="46">
                  <c:v>-1.4075211214206106E-11</c:v>
                </c:pt>
                <c:pt idx="47">
                  <c:v>-1.4075211214206106E-11</c:v>
                </c:pt>
                <c:pt idx="50">
                  <c:v>-1.3575155583271204E-11</c:v>
                </c:pt>
                <c:pt idx="51">
                  <c:v>-1.3575155583271204E-11</c:v>
                </c:pt>
                <c:pt idx="54">
                  <c:v>-1.2971784821444557E-11</c:v>
                </c:pt>
                <c:pt idx="55">
                  <c:v>-1.2971784821444557E-11</c:v>
                </c:pt>
                <c:pt idx="58">
                  <c:v>1.1474217310923254E-11</c:v>
                </c:pt>
                <c:pt idx="59">
                  <c:v>1.1474217310923254E-11</c:v>
                </c:pt>
                <c:pt idx="62">
                  <c:v>1.226969094454889E-11</c:v>
                </c:pt>
                <c:pt idx="63">
                  <c:v>1.226969094454889E-11</c:v>
                </c:pt>
                <c:pt idx="66">
                  <c:v>1.2971784821444557E-11</c:v>
                </c:pt>
                <c:pt idx="67">
                  <c:v>1.2971784821444557E-11</c:v>
                </c:pt>
                <c:pt idx="70">
                  <c:v>2.6009939032828505E-12</c:v>
                </c:pt>
                <c:pt idx="71">
                  <c:v>2.6009939032828505E-12</c:v>
                </c:pt>
                <c:pt idx="74">
                  <c:v>1.3054646387223149E-12</c:v>
                </c:pt>
                <c:pt idx="75">
                  <c:v>1.3054646387223149E-12</c:v>
                </c:pt>
                <c:pt idx="78">
                  <c:v>1.835091910924548E-27</c:v>
                </c:pt>
                <c:pt idx="79">
                  <c:v>1.835091910924548E-27</c:v>
                </c:pt>
                <c:pt idx="82">
                  <c:v>-1.4075211214206106E-11</c:v>
                </c:pt>
                <c:pt idx="83">
                  <c:v>-1.4075211214206106E-11</c:v>
                </c:pt>
                <c:pt idx="86">
                  <c:v>-1.3575155583271204E-11</c:v>
                </c:pt>
                <c:pt idx="87">
                  <c:v>-1.3575155583271204E-11</c:v>
                </c:pt>
                <c:pt idx="90">
                  <c:v>-1.2971784821444557E-11</c:v>
                </c:pt>
                <c:pt idx="91">
                  <c:v>-1.2971784821444557E-11</c:v>
                </c:pt>
                <c:pt idx="94">
                  <c:v>1.1474217310923251E-11</c:v>
                </c:pt>
                <c:pt idx="95">
                  <c:v>1.1474217310923251E-11</c:v>
                </c:pt>
                <c:pt idx="98">
                  <c:v>1.2269690944548886E-11</c:v>
                </c:pt>
                <c:pt idx="99">
                  <c:v>1.2269690944548886E-11</c:v>
                </c:pt>
                <c:pt idx="102">
                  <c:v>1.297178482144456E-11</c:v>
                </c:pt>
                <c:pt idx="103">
                  <c:v>1.297178482144456E-11</c:v>
                </c:pt>
                <c:pt idx="106">
                  <c:v>2.6009939032828541E-12</c:v>
                </c:pt>
                <c:pt idx="107">
                  <c:v>2.6009939032828541E-12</c:v>
                </c:pt>
                <c:pt idx="110">
                  <c:v>1.3054646387223187E-12</c:v>
                </c:pt>
                <c:pt idx="111">
                  <c:v>1.3054646387223187E-12</c:v>
                </c:pt>
                <c:pt idx="114">
                  <c:v>5.5052757327736444E-27</c:v>
                </c:pt>
                <c:pt idx="115">
                  <c:v>5.5052757327736444E-27</c:v>
                </c:pt>
                <c:pt idx="118">
                  <c:v>-1.4075211214206111E-11</c:v>
                </c:pt>
                <c:pt idx="119">
                  <c:v>-1.4075211214206111E-11</c:v>
                </c:pt>
                <c:pt idx="122">
                  <c:v>-1.3575155583271211E-11</c:v>
                </c:pt>
                <c:pt idx="123">
                  <c:v>-1.3575155583271211E-11</c:v>
                </c:pt>
                <c:pt idx="126">
                  <c:v>-1.2971784821444565E-11</c:v>
                </c:pt>
                <c:pt idx="127">
                  <c:v>-1.2971784821444565E-11</c:v>
                </c:pt>
                <c:pt idx="130">
                  <c:v>1.1474217310923258E-11</c:v>
                </c:pt>
                <c:pt idx="131">
                  <c:v>1.1474217310923258E-11</c:v>
                </c:pt>
                <c:pt idx="134">
                  <c:v>1.2269690944548892E-11</c:v>
                </c:pt>
                <c:pt idx="135">
                  <c:v>1.2269690944548892E-11</c:v>
                </c:pt>
                <c:pt idx="138">
                  <c:v>1.2971784821444558E-11</c:v>
                </c:pt>
                <c:pt idx="139">
                  <c:v>1.2971784821444558E-11</c:v>
                </c:pt>
                <c:pt idx="142">
                  <c:v>2.6009939032828577E-12</c:v>
                </c:pt>
                <c:pt idx="143">
                  <c:v>2.6009939032828577E-12</c:v>
                </c:pt>
                <c:pt idx="146">
                  <c:v>1.3054646387223221E-12</c:v>
                </c:pt>
                <c:pt idx="147">
                  <c:v>1.3054646387223221E-12</c:v>
                </c:pt>
                <c:pt idx="150">
                  <c:v>9.1754595546227397E-27</c:v>
                </c:pt>
                <c:pt idx="151">
                  <c:v>9.1754595546227397E-27</c:v>
                </c:pt>
                <c:pt idx="154">
                  <c:v>-1.4075211214206103E-11</c:v>
                </c:pt>
                <c:pt idx="155">
                  <c:v>-1.4075211214206103E-11</c:v>
                </c:pt>
                <c:pt idx="158">
                  <c:v>-1.3575155583271214E-11</c:v>
                </c:pt>
                <c:pt idx="159">
                  <c:v>-1.3575155583271214E-11</c:v>
                </c:pt>
                <c:pt idx="162">
                  <c:v>-1.2971784821444553E-11</c:v>
                </c:pt>
                <c:pt idx="163">
                  <c:v>-1.2971784821444553E-11</c:v>
                </c:pt>
                <c:pt idx="166">
                  <c:v>1.1474217310923238E-11</c:v>
                </c:pt>
                <c:pt idx="167">
                  <c:v>1.1474217310923238E-11</c:v>
                </c:pt>
                <c:pt idx="170">
                  <c:v>1.2269690944548889E-11</c:v>
                </c:pt>
                <c:pt idx="171">
                  <c:v>1.2269690944548889E-11</c:v>
                </c:pt>
                <c:pt idx="174">
                  <c:v>1.2971784821444544E-11</c:v>
                </c:pt>
                <c:pt idx="175">
                  <c:v>1.2971784821444544E-11</c:v>
                </c:pt>
                <c:pt idx="178">
                  <c:v>2.6009939032828614E-12</c:v>
                </c:pt>
                <c:pt idx="179">
                  <c:v>2.6009939032828614E-12</c:v>
                </c:pt>
                <c:pt idx="182">
                  <c:v>1.3054646387222993E-12</c:v>
                </c:pt>
                <c:pt idx="183">
                  <c:v>1.3054646387222993E-12</c:v>
                </c:pt>
                <c:pt idx="186">
                  <c:v>1.2845643376471836E-26</c:v>
                </c:pt>
                <c:pt idx="187">
                  <c:v>1.2845643376471836E-26</c:v>
                </c:pt>
                <c:pt idx="190">
                  <c:v>-1.4075211214206104E-11</c:v>
                </c:pt>
                <c:pt idx="191">
                  <c:v>-1.4075211214206104E-11</c:v>
                </c:pt>
                <c:pt idx="194">
                  <c:v>-1.3575155583271216E-11</c:v>
                </c:pt>
                <c:pt idx="195">
                  <c:v>-1.3575155583271216E-11</c:v>
                </c:pt>
                <c:pt idx="198">
                  <c:v>-1.2971784821444555E-11</c:v>
                </c:pt>
                <c:pt idx="199">
                  <c:v>-1.2971784821444555E-11</c:v>
                </c:pt>
                <c:pt idx="202">
                  <c:v>1.1474217310923237E-11</c:v>
                </c:pt>
                <c:pt idx="203">
                  <c:v>1.1474217310923237E-11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B6A2-4DF4-B2D6-F793F90E9461}"/>
            </c:ext>
          </c:extLst>
        </c:ser>
        <c:ser>
          <c:idx val="18"/>
          <c:order val="8"/>
          <c:tx>
            <c:strRef>
              <c:f>Vis!$O$3</c:f>
              <c:strCache>
                <c:ptCount val="1"/>
                <c:pt idx="0">
                  <c:v>Required 90 deg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Vis!$O$5:$O$39</c:f>
              <c:numCache>
                <c:formatCode>0</c:formatCode>
                <c:ptCount val="35"/>
                <c:pt idx="0">
                  <c:v>270</c:v>
                </c:pt>
                <c:pt idx="1">
                  <c:v>262.5</c:v>
                </c:pt>
                <c:pt idx="2">
                  <c:v>255</c:v>
                </c:pt>
                <c:pt idx="3">
                  <c:v>1.531435568635775E-15</c:v>
                </c:pt>
                <c:pt idx="4">
                  <c:v>-22.5</c:v>
                </c:pt>
                <c:pt idx="5">
                  <c:v>-30</c:v>
                </c:pt>
                <c:pt idx="6">
                  <c:v>-22.5</c:v>
                </c:pt>
                <c:pt idx="7">
                  <c:v>-1.531435568635775E-15</c:v>
                </c:pt>
                <c:pt idx="8">
                  <c:v>255</c:v>
                </c:pt>
                <c:pt idx="9">
                  <c:v>262.5</c:v>
                </c:pt>
                <c:pt idx="10">
                  <c:v>270</c:v>
                </c:pt>
                <c:pt idx="12">
                  <c:v>693.29545891729799</c:v>
                </c:pt>
                <c:pt idx="13">
                  <c:v>702.487846117034</c:v>
                </c:pt>
                <c:pt idx="14">
                  <c:v>705.66982679165449</c:v>
                </c:pt>
                <c:pt idx="15">
                  <c:v>730.41857528287642</c:v>
                </c:pt>
                <c:pt idx="16">
                  <c:v>730.772130107002</c:v>
                </c:pt>
                <c:pt idx="17">
                  <c:v>728.65081390475802</c:v>
                </c:pt>
                <c:pt idx="18">
                  <c:v>719.45842670502191</c:v>
                </c:pt>
                <c:pt idx="19">
                  <c:v>716.27644603040153</c:v>
                </c:pt>
                <c:pt idx="20">
                  <c:v>691.52769753917948</c:v>
                </c:pt>
                <c:pt idx="21">
                  <c:v>691.17414271505402</c:v>
                </c:pt>
                <c:pt idx="22">
                  <c:v>693.29545891729799</c:v>
                </c:pt>
                <c:pt idx="24">
                  <c:v>693.29545891729799</c:v>
                </c:pt>
                <c:pt idx="25">
                  <c:v>702.487846117034</c:v>
                </c:pt>
                <c:pt idx="26">
                  <c:v>705.66982679165449</c:v>
                </c:pt>
                <c:pt idx="27">
                  <c:v>730.41857528287642</c:v>
                </c:pt>
                <c:pt idx="28">
                  <c:v>730.772130107002</c:v>
                </c:pt>
                <c:pt idx="29">
                  <c:v>728.65081390475802</c:v>
                </c:pt>
                <c:pt idx="30">
                  <c:v>719.45842670502191</c:v>
                </c:pt>
                <c:pt idx="31">
                  <c:v>716.27644603040153</c:v>
                </c:pt>
                <c:pt idx="32">
                  <c:v>691.52769753917948</c:v>
                </c:pt>
                <c:pt idx="33">
                  <c:v>691.17414271505402</c:v>
                </c:pt>
                <c:pt idx="34">
                  <c:v>693.29545891729799</c:v>
                </c:pt>
              </c:numCache>
            </c:numRef>
          </c:xVal>
          <c:yVal>
            <c:numRef>
              <c:f>Vis!$P$5:$P$39</c:f>
              <c:numCache>
                <c:formatCode>0</c:formatCode>
                <c:ptCount val="35"/>
                <c:pt idx="0">
                  <c:v>-1.653950414126637E-14</c:v>
                </c:pt>
                <c:pt idx="1">
                  <c:v>22.499999999999982</c:v>
                </c:pt>
                <c:pt idx="2">
                  <c:v>24.999999999999986</c:v>
                </c:pt>
                <c:pt idx="3">
                  <c:v>25</c:v>
                </c:pt>
                <c:pt idx="4">
                  <c:v>12.500000000000002</c:v>
                </c:pt>
                <c:pt idx="5">
                  <c:v>1.83772268236293E-15</c:v>
                </c:pt>
                <c:pt idx="6">
                  <c:v>-12.499999999999998</c:v>
                </c:pt>
                <c:pt idx="7">
                  <c:v>-25</c:v>
                </c:pt>
                <c:pt idx="8">
                  <c:v>-25.000000000000014</c:v>
                </c:pt>
                <c:pt idx="9">
                  <c:v>-22.500000000000018</c:v>
                </c:pt>
                <c:pt idx="10">
                  <c:v>-1.653950414126637E-14</c:v>
                </c:pt>
                <c:pt idx="12">
                  <c:v>423.29507751494936</c:v>
                </c:pt>
                <c:pt idx="13">
                  <c:v>421.17375303007452</c:v>
                </c:pt>
                <c:pt idx="14">
                  <c:v>421.52730498713549</c:v>
                </c:pt>
                <c:pt idx="15">
                  <c:v>446.27603117896683</c:v>
                </c:pt>
                <c:pt idx="16">
                  <c:v>449.45801153502458</c:v>
                </c:pt>
                <c:pt idx="17">
                  <c:v>458.65040064613697</c:v>
                </c:pt>
                <c:pt idx="18">
                  <c:v>460.77172513101181</c:v>
                </c:pt>
                <c:pt idx="19">
                  <c:v>460.41817317395078</c:v>
                </c:pt>
                <c:pt idx="20">
                  <c:v>435.66944698211944</c:v>
                </c:pt>
                <c:pt idx="21">
                  <c:v>432.48746662606175</c:v>
                </c:pt>
                <c:pt idx="22">
                  <c:v>423.29507751494936</c:v>
                </c:pt>
                <c:pt idx="24">
                  <c:v>423.29507751494936</c:v>
                </c:pt>
                <c:pt idx="25">
                  <c:v>421.17375303007452</c:v>
                </c:pt>
                <c:pt idx="26">
                  <c:v>421.52730498713549</c:v>
                </c:pt>
                <c:pt idx="27">
                  <c:v>446.27603117896683</c:v>
                </c:pt>
                <c:pt idx="28">
                  <c:v>449.45801153502458</c:v>
                </c:pt>
                <c:pt idx="29">
                  <c:v>458.65040064613697</c:v>
                </c:pt>
                <c:pt idx="30">
                  <c:v>460.77172513101181</c:v>
                </c:pt>
                <c:pt idx="31">
                  <c:v>460.41817317395078</c:v>
                </c:pt>
                <c:pt idx="32">
                  <c:v>435.66944698211944</c:v>
                </c:pt>
                <c:pt idx="33">
                  <c:v>432.48746662606175</c:v>
                </c:pt>
                <c:pt idx="34">
                  <c:v>423.29507751494936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B6A2-4DF4-B2D6-F793F90E9461}"/>
            </c:ext>
          </c:extLst>
        </c:ser>
        <c:ser>
          <c:idx val="19"/>
          <c:order val="9"/>
          <c:tx>
            <c:strRef>
              <c:f>Vis!$M$3</c:f>
              <c:strCache>
                <c:ptCount val="1"/>
                <c:pt idx="0">
                  <c:v>Equilibrium 33 deg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numRef>
              <c:f>Vis!$M$5:$M$15</c:f>
              <c:numCache>
                <c:formatCode>0</c:formatCode>
                <c:ptCount val="11"/>
                <c:pt idx="0">
                  <c:v>145.89380860008097</c:v>
                </c:pt>
                <c:pt idx="1">
                  <c:v>160.77364787945805</c:v>
                </c:pt>
                <c:pt idx="2">
                  <c:v>158.824647093214</c:v>
                </c:pt>
                <c:pt idx="3">
                  <c:v>21.036050082026406</c:v>
                </c:pt>
                <c:pt idx="4">
                  <c:v>-1.6397923423268779</c:v>
                </c:pt>
                <c:pt idx="5">
                  <c:v>-16.210423177786776</c:v>
                </c:pt>
                <c:pt idx="6">
                  <c:v>-22.675842424353284</c:v>
                </c:pt>
                <c:pt idx="7">
                  <c:v>-21.036050082026406</c:v>
                </c:pt>
                <c:pt idx="8">
                  <c:v>116.75254692916118</c:v>
                </c:pt>
                <c:pt idx="9">
                  <c:v>122.90875773181051</c:v>
                </c:pt>
                <c:pt idx="10">
                  <c:v>145.89380860008097</c:v>
                </c:pt>
              </c:numCache>
            </c:numRef>
          </c:xVal>
          <c:yVal>
            <c:numRef>
              <c:f>Vis!$N$5:$N$15</c:f>
              <c:numCache>
                <c:formatCode>0</c:formatCode>
                <c:ptCount val="11"/>
                <c:pt idx="0">
                  <c:v>-227.18934088588517</c:v>
                </c:pt>
                <c:pt idx="1">
                  <c:v>-208.72070847793719</c:v>
                </c:pt>
                <c:pt idx="2">
                  <c:v>-201.05902485518035</c:v>
                </c:pt>
                <c:pt idx="3">
                  <c:v>13.508685981488981</c:v>
                </c:pt>
                <c:pt idx="4">
                  <c:v>25.686788064568255</c:v>
                </c:pt>
                <c:pt idx="5">
                  <c:v>25.243260098431687</c:v>
                </c:pt>
                <c:pt idx="6">
                  <c:v>12.178102083079274</c:v>
                </c:pt>
                <c:pt idx="7">
                  <c:v>-13.508685981488981</c:v>
                </c:pt>
                <c:pt idx="8">
                  <c:v>-228.07639681815832</c:v>
                </c:pt>
                <c:pt idx="9">
                  <c:v>-233.03634324461734</c:v>
                </c:pt>
                <c:pt idx="10">
                  <c:v>-227.18934088588517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B6A2-4DF4-B2D6-F793F90E9461}"/>
            </c:ext>
          </c:extLst>
        </c:ser>
        <c:ser>
          <c:idx val="20"/>
          <c:order val="10"/>
          <c:tx>
            <c:v>External force</c:v>
          </c:tx>
          <c:spPr>
            <a:ln>
              <a:prstDash val="sysDot"/>
              <a:headEnd type="none" w="med" len="med"/>
              <a:tailEnd type="arrow" w="med" len="med"/>
            </a:ln>
          </c:spPr>
          <c:marker>
            <c:symbol val="none"/>
          </c:marker>
          <c:xVal>
            <c:numRef>
              <c:f>Vis!$D$4:$D$14</c:f>
              <c:numCache>
                <c:formatCode>0</c:formatCode>
                <c:ptCount val="11"/>
                <c:pt idx="0">
                  <c:v>270</c:v>
                </c:pt>
                <c:pt idx="1">
                  <c:v>270</c:v>
                </c:pt>
                <c:pt idx="3">
                  <c:v>220</c:v>
                </c:pt>
                <c:pt idx="4">
                  <c:v>220</c:v>
                </c:pt>
                <c:pt idx="6">
                  <c:v>270</c:v>
                </c:pt>
                <c:pt idx="7">
                  <c:v>270</c:v>
                </c:pt>
                <c:pt idx="9">
                  <c:v>220</c:v>
                </c:pt>
                <c:pt idx="10">
                  <c:v>220</c:v>
                </c:pt>
              </c:numCache>
            </c:numRef>
          </c:xVal>
          <c:yVal>
            <c:numRef>
              <c:f>Vis!$E$4:$E$14</c:f>
              <c:numCache>
                <c:formatCode>0</c:formatCode>
                <c:ptCount val="11"/>
                <c:pt idx="0">
                  <c:v>9.999999999999984</c:v>
                </c:pt>
                <c:pt idx="1">
                  <c:v>9.999999999999984</c:v>
                </c:pt>
                <c:pt idx="3">
                  <c:v>-1.347663300399482E-14</c:v>
                </c:pt>
                <c:pt idx="4">
                  <c:v>-1.347663300399482E-14</c:v>
                </c:pt>
                <c:pt idx="6">
                  <c:v>9.999999999999984</c:v>
                </c:pt>
                <c:pt idx="7">
                  <c:v>9.999999999999984</c:v>
                </c:pt>
                <c:pt idx="9">
                  <c:v>-1.347663300399482E-14</c:v>
                </c:pt>
                <c:pt idx="10">
                  <c:v>-1.347663300399482E-14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B6A2-4DF4-B2D6-F793F90E9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6742784"/>
        <c:axId val="326744320"/>
      </c:scatterChart>
      <c:valAx>
        <c:axId val="326742784"/>
        <c:scaling>
          <c:orientation val="maxMin"/>
          <c:max val="1000"/>
          <c:min val="-100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one"/>
        <c:crossAx val="326744320"/>
        <c:crosses val="autoZero"/>
        <c:crossBetween val="midCat"/>
        <c:majorUnit val="250"/>
      </c:valAx>
      <c:valAx>
        <c:axId val="326744320"/>
        <c:scaling>
          <c:orientation val="minMax"/>
          <c:max val="1000"/>
          <c:min val="-1000"/>
        </c:scaling>
        <c:delete val="0"/>
        <c:axPos val="r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one"/>
        <c:crossAx val="326742784"/>
        <c:crosses val="autoZero"/>
        <c:crossBetween val="midCat"/>
        <c:majorUnit val="250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2.5317437115819498E-2"/>
          <c:y val="0.65429564897421366"/>
          <c:w val="0.31260426497178923"/>
          <c:h val="0.20416439583682855"/>
        </c:manualLayout>
      </c:layout>
      <c:overlay val="1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103909</xdr:colOff>
      <xdr:row>0</xdr:row>
      <xdr:rowOff>51954</xdr:rowOff>
    </xdr:from>
    <xdr:to>
      <xdr:col>15</xdr:col>
      <xdr:colOff>372653</xdr:colOff>
      <xdr:row>32</xdr:row>
      <xdr:rowOff>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14</xdr:col>
      <xdr:colOff>157369</xdr:colOff>
      <xdr:row>16</xdr:row>
      <xdr:rowOff>99391</xdr:rowOff>
    </xdr:from>
    <xdr:ext cx="760721" cy="264560"/>
    <xdr:sp macro="" textlink="Vis!B32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516717" y="3147391"/>
          <a:ext cx="76072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A9DCEA6-F164-4498-A3AC-8613E6243F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Hs1=1.5m</a:t>
          </a:fld>
          <a:endParaRPr lang="en-GB" sz="1100"/>
        </a:p>
      </xdr:txBody>
    </xdr:sp>
    <xdr:clientData/>
  </xdr:oneCellAnchor>
  <xdr:oneCellAnchor>
    <xdr:from>
      <xdr:col>14</xdr:col>
      <xdr:colOff>165652</xdr:colOff>
      <xdr:row>19</xdr:row>
      <xdr:rowOff>149087</xdr:rowOff>
    </xdr:from>
    <xdr:ext cx="653640" cy="264560"/>
    <xdr:sp macro="" textlink="Vis!D32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525000" y="3768587"/>
          <a:ext cx="6536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37C6D91-210F-4D56-80BF-BFEE34DD267D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Hs2=1m</a:t>
          </a:fld>
          <a:endParaRPr lang="en-GB" sz="1100"/>
        </a:p>
      </xdr:txBody>
    </xdr:sp>
    <xdr:clientData/>
  </xdr:oneCellAnchor>
  <xdr:oneCellAnchor>
    <xdr:from>
      <xdr:col>14</xdr:col>
      <xdr:colOff>160683</xdr:colOff>
      <xdr:row>23</xdr:row>
      <xdr:rowOff>36443</xdr:rowOff>
    </xdr:from>
    <xdr:ext cx="717056" cy="264560"/>
    <xdr:sp macro="" textlink="Vis!F32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20031" y="4417943"/>
          <a:ext cx="71705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C828B56-1003-4148-9212-ACCEE8E740D6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Vw=20kn</a:t>
          </a:fld>
          <a:endParaRPr lang="en-GB" sz="1100"/>
        </a:p>
      </xdr:txBody>
    </xdr:sp>
    <xdr:clientData/>
  </xdr:oneCellAnchor>
  <xdr:oneCellAnchor>
    <xdr:from>
      <xdr:col>14</xdr:col>
      <xdr:colOff>172277</xdr:colOff>
      <xdr:row>26</xdr:row>
      <xdr:rowOff>97736</xdr:rowOff>
    </xdr:from>
    <xdr:ext cx="604333" cy="264560"/>
    <xdr:sp macro="" textlink="Vis!H32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531625" y="5050736"/>
          <a:ext cx="60433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59A3F86-9A74-41B0-9D84-0F8481EE1F8B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Vc=1kn</a:t>
          </a:fld>
          <a:endParaRPr lang="en-GB" sz="1100"/>
        </a:p>
      </xdr:txBody>
    </xdr:sp>
    <xdr:clientData/>
  </xdr:oneCellAnchor>
  <xdr:oneCellAnchor>
    <xdr:from>
      <xdr:col>7</xdr:col>
      <xdr:colOff>198783</xdr:colOff>
      <xdr:row>0</xdr:row>
      <xdr:rowOff>149087</xdr:rowOff>
    </xdr:from>
    <xdr:ext cx="4338752" cy="248851"/>
    <xdr:sp macro="" textlink="Vis!L52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67740" y="149087"/>
          <a:ext cx="433875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B21E710-4E2E-492A-89D6-888946624EAC}" type="TxLink">
            <a:rPr lang="en-US" sz="1000" b="0" i="0" u="none" strike="noStrike">
              <a:solidFill>
                <a:srgbClr val="FF0000"/>
              </a:solidFill>
              <a:latin typeface="Calibri"/>
              <a:cs typeface="Calibri"/>
            </a:rPr>
            <a:pPr/>
            <a:t> </a:t>
          </a:fld>
          <a:endParaRPr lang="en-GB" sz="1100"/>
        </a:p>
      </xdr:txBody>
    </xdr:sp>
    <xdr:clientData/>
  </xdr:oneCellAnchor>
  <xdr:oneCellAnchor>
    <xdr:from>
      <xdr:col>7</xdr:col>
      <xdr:colOff>284933</xdr:colOff>
      <xdr:row>1</xdr:row>
      <xdr:rowOff>110987</xdr:rowOff>
    </xdr:from>
    <xdr:ext cx="4634936" cy="248851"/>
    <xdr:sp macro="" textlink="Vis!L53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353890" y="301487"/>
          <a:ext cx="4634936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69E306D5-1FCB-410B-B057-FC46A83404D8}" type="TxLink">
            <a:rPr lang="en-US" sz="1000" b="0" i="0" u="none" strike="noStrike">
              <a:solidFill>
                <a:srgbClr val="FF0000"/>
              </a:solidFill>
              <a:latin typeface="Calibri"/>
              <a:cs typeface="Calibri"/>
            </a:rPr>
            <a:pPr/>
            <a:t> </a:t>
          </a:fld>
          <a:endParaRPr lang="en-GB" sz="1100"/>
        </a:p>
      </xdr:txBody>
    </xdr:sp>
    <xdr:clientData/>
  </xdr:oneCellAnchor>
  <xdr:oneCellAnchor>
    <xdr:from>
      <xdr:col>7</xdr:col>
      <xdr:colOff>132521</xdr:colOff>
      <xdr:row>27</xdr:row>
      <xdr:rowOff>122583</xdr:rowOff>
    </xdr:from>
    <xdr:ext cx="5118652" cy="248851"/>
    <xdr:sp macro="" textlink="Vis!L48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201478" y="5266083"/>
          <a:ext cx="511865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AC481AA5-B8A1-465A-AB2A-903337BB000E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At required BP, Tow line catenary depth is 18 m</a:t>
          </a:fld>
          <a:endParaRPr lang="en-GB" sz="1100"/>
        </a:p>
      </xdr:txBody>
    </xdr:sp>
    <xdr:clientData/>
  </xdr:oneCellAnchor>
  <xdr:oneCellAnchor>
    <xdr:from>
      <xdr:col>7</xdr:col>
      <xdr:colOff>132520</xdr:colOff>
      <xdr:row>28</xdr:row>
      <xdr:rowOff>101048</xdr:rowOff>
    </xdr:from>
    <xdr:ext cx="5126935" cy="248851"/>
    <xdr:sp macro="" textlink="Vis!L49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201477" y="5435048"/>
          <a:ext cx="51269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6BD92C4E-41EF-4122-AAF1-012ECD2C5A39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Maintain at least 102 tonne BP to limit catenary depth to 9 m</a:t>
          </a:fld>
          <a:endParaRPr lang="en-GB" sz="1100"/>
        </a:p>
      </xdr:txBody>
    </xdr:sp>
    <xdr:clientData/>
  </xdr:oneCellAnchor>
  <xdr:oneCellAnchor>
    <xdr:from>
      <xdr:col>7</xdr:col>
      <xdr:colOff>33143</xdr:colOff>
      <xdr:row>30</xdr:row>
      <xdr:rowOff>99390</xdr:rowOff>
    </xdr:from>
    <xdr:ext cx="213648" cy="248851"/>
    <xdr:sp macro="" textlink="L51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102100" y="5814390"/>
          <a:ext cx="213648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1AC0014-4F18-4A8F-87C6-A7F44231F5CD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 </a:t>
          </a:fld>
          <a:endParaRPr lang="en-GB" sz="1100"/>
        </a:p>
      </xdr:txBody>
    </xdr:sp>
    <xdr:clientData/>
  </xdr:oneCellAnchor>
  <xdr:oneCellAnchor>
    <xdr:from>
      <xdr:col>7</xdr:col>
      <xdr:colOff>140804</xdr:colOff>
      <xdr:row>29</xdr:row>
      <xdr:rowOff>137491</xdr:rowOff>
    </xdr:from>
    <xdr:ext cx="5118652" cy="248851"/>
    <xdr:sp macro="" textlink="Vis!L50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09761" y="5661991"/>
          <a:ext cx="511865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4110BD42-A319-4164-A28B-CB2A481FD6C5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Tug 1  BP     53   tonnes towards     315 deg</a:t>
          </a:fld>
          <a:endParaRPr lang="en-GB" sz="1100"/>
        </a:p>
      </xdr:txBody>
    </xdr:sp>
    <xdr:clientData/>
  </xdr:oneCellAnchor>
  <xdr:oneCellAnchor>
    <xdr:from>
      <xdr:col>7</xdr:col>
      <xdr:colOff>132521</xdr:colOff>
      <xdr:row>30</xdr:row>
      <xdr:rowOff>132522</xdr:rowOff>
    </xdr:from>
    <xdr:ext cx="5110370" cy="248851"/>
    <xdr:sp macro="" textlink="Vis!L51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201478" y="5847522"/>
          <a:ext cx="5110370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fld id="{5602E169-7202-41C3-AA8D-EF42AD61FBE1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 </a:t>
          </a:fld>
          <a:endParaRPr lang="en-GB" sz="1100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0.87768</cdr:x>
      <cdr:y>0.0407</cdr:y>
    </cdr:from>
    <cdr:to>
      <cdr:x>0.93963</cdr:x>
      <cdr:y>0.112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148A3678-2E5B-4FC5-AF8A-3E2801BE95FC}"/>
            </a:ext>
          </a:extLst>
        </cdr:cNvPr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/>
        <a:srcRect xmlns:a="http://schemas.openxmlformats.org/drawingml/2006/main" l="23672" t="17244" r="34483" b="22257"/>
        <a:stretch xmlns:a="http://schemas.openxmlformats.org/drawingml/2006/main"/>
      </cdr:blipFill>
      <cdr:spPr>
        <a:xfrm xmlns:a="http://schemas.openxmlformats.org/drawingml/2006/main">
          <a:off x="4539403" y="245993"/>
          <a:ext cx="320408" cy="430923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721"/>
  <sheetViews>
    <sheetView showGridLines="0" showRowColHeaders="0" tabSelected="1" zoomScale="115" zoomScaleNormal="115" workbookViewId="0"/>
  </sheetViews>
  <sheetFormatPr defaultRowHeight="15" x14ac:dyDescent="0.25"/>
  <cols>
    <col min="1" max="1" width="3.28515625" style="31" bestFit="1" customWidth="1"/>
    <col min="2" max="2" width="26.85546875" style="31" bestFit="1" customWidth="1"/>
    <col min="3" max="7" width="9.140625" style="32" customWidth="1"/>
    <col min="8" max="16" width="9.140625" style="32"/>
    <col min="17" max="17" width="3.28515625" style="31" bestFit="1" customWidth="1"/>
    <col min="18" max="18" width="26.5703125" style="31" bestFit="1" customWidth="1"/>
    <col min="19" max="23" width="9.140625" style="31" customWidth="1"/>
    <col min="24" max="26" width="9.140625" customWidth="1"/>
    <col min="27" max="27" width="12.7109375" customWidth="1"/>
    <col min="28" max="28" width="9.140625" customWidth="1"/>
    <col min="58" max="58" width="9.42578125" bestFit="1" customWidth="1"/>
    <col min="62" max="62" width="9.140625" customWidth="1"/>
    <col min="63" max="63" width="10.7109375" bestFit="1" customWidth="1"/>
    <col min="65" max="65" width="15.140625" bestFit="1" customWidth="1"/>
  </cols>
  <sheetData>
    <row r="1" spans="1:25" x14ac:dyDescent="0.25">
      <c r="A1" s="50"/>
      <c r="B1" s="50" t="s">
        <v>42</v>
      </c>
      <c r="C1" s="51" t="s">
        <v>43</v>
      </c>
      <c r="D1" s="97" t="s">
        <v>274</v>
      </c>
      <c r="E1" s="51" t="s">
        <v>44</v>
      </c>
      <c r="F1" s="51" t="s">
        <v>45</v>
      </c>
      <c r="G1" s="51" t="s">
        <v>220</v>
      </c>
      <c r="H1" s="51"/>
      <c r="I1" s="51"/>
      <c r="J1" s="51"/>
      <c r="Q1" s="50"/>
      <c r="R1" s="50" t="s">
        <v>42</v>
      </c>
      <c r="S1" s="51" t="s">
        <v>43</v>
      </c>
      <c r="T1" s="97" t="s">
        <v>274</v>
      </c>
      <c r="U1" s="51" t="s">
        <v>44</v>
      </c>
      <c r="V1" s="51" t="s">
        <v>45</v>
      </c>
      <c r="W1" s="51" t="s">
        <v>220</v>
      </c>
      <c r="Y1" s="4"/>
    </row>
    <row r="2" spans="1:25" ht="14.45" customHeight="1" x14ac:dyDescent="0.25">
      <c r="A2" s="98" t="s">
        <v>68</v>
      </c>
      <c r="B2" s="52" t="s">
        <v>46</v>
      </c>
      <c r="C2" s="53" t="s">
        <v>65</v>
      </c>
      <c r="D2" s="87">
        <v>1.5</v>
      </c>
      <c r="E2" s="53" t="s">
        <v>0</v>
      </c>
      <c r="F2" s="53" t="s">
        <v>205</v>
      </c>
      <c r="G2" s="54">
        <f>MIN(MAX(0,D2),5)</f>
        <v>1.5</v>
      </c>
      <c r="H2" s="55"/>
      <c r="I2" s="55"/>
      <c r="J2" s="55"/>
      <c r="K2" s="34"/>
      <c r="L2" s="34"/>
      <c r="M2" s="34"/>
      <c r="N2" s="34"/>
      <c r="O2" s="34"/>
      <c r="P2" s="34"/>
      <c r="Q2" s="100" t="s">
        <v>110</v>
      </c>
      <c r="R2" s="80" t="s">
        <v>69</v>
      </c>
      <c r="S2" s="81" t="s">
        <v>98</v>
      </c>
      <c r="T2" s="94">
        <v>50</v>
      </c>
      <c r="U2" s="81" t="s">
        <v>0</v>
      </c>
      <c r="V2" s="81" t="s">
        <v>217</v>
      </c>
      <c r="W2" s="54">
        <f>MIN(MAX(0,T2),150)</f>
        <v>50</v>
      </c>
    </row>
    <row r="3" spans="1:25" x14ac:dyDescent="0.25">
      <c r="A3" s="98"/>
      <c r="B3" s="56" t="s">
        <v>47</v>
      </c>
      <c r="C3" s="57" t="s">
        <v>64</v>
      </c>
      <c r="D3" s="87">
        <v>4</v>
      </c>
      <c r="E3" s="53" t="s">
        <v>148</v>
      </c>
      <c r="F3" s="53" t="s">
        <v>206</v>
      </c>
      <c r="G3" s="54">
        <f>MIN(MAX(1,D3),25)</f>
        <v>4</v>
      </c>
      <c r="H3" s="55"/>
      <c r="I3" s="55"/>
      <c r="J3" s="55"/>
      <c r="K3" s="34"/>
      <c r="L3" s="34"/>
      <c r="M3" s="34"/>
      <c r="N3" s="34"/>
      <c r="O3" s="34"/>
      <c r="P3" s="34"/>
      <c r="Q3" s="100"/>
      <c r="R3" s="80" t="s">
        <v>74</v>
      </c>
      <c r="S3" s="81" t="s">
        <v>99</v>
      </c>
      <c r="T3" s="94">
        <v>20</v>
      </c>
      <c r="U3" s="81" t="s">
        <v>0</v>
      </c>
      <c r="V3" s="81" t="s">
        <v>209</v>
      </c>
      <c r="W3" s="54">
        <f>MIN(MAX(0,T3),50)</f>
        <v>20</v>
      </c>
    </row>
    <row r="4" spans="1:25" x14ac:dyDescent="0.25">
      <c r="A4" s="98"/>
      <c r="B4" s="56" t="s">
        <v>113</v>
      </c>
      <c r="C4" s="58" t="s">
        <v>114</v>
      </c>
      <c r="D4" s="87">
        <v>1</v>
      </c>
      <c r="E4" s="53"/>
      <c r="F4" s="53" t="s">
        <v>207</v>
      </c>
      <c r="G4" s="54">
        <f>MIN(MAX(1,D4),7)</f>
        <v>1</v>
      </c>
      <c r="H4" s="55"/>
      <c r="I4" s="55"/>
      <c r="J4" s="55"/>
      <c r="K4" s="34"/>
      <c r="L4" s="34"/>
      <c r="M4" s="34"/>
      <c r="N4" s="34"/>
      <c r="O4" s="34"/>
      <c r="P4" s="34"/>
      <c r="Q4" s="100"/>
      <c r="R4" s="80" t="s">
        <v>97</v>
      </c>
      <c r="S4" s="81" t="s">
        <v>100</v>
      </c>
      <c r="T4" s="94">
        <v>100</v>
      </c>
      <c r="U4" s="81" t="s">
        <v>11</v>
      </c>
      <c r="V4" s="81" t="s">
        <v>267</v>
      </c>
      <c r="W4" s="54">
        <f>MIN(MAX(0,T4),300)</f>
        <v>100</v>
      </c>
    </row>
    <row r="5" spans="1:25" x14ac:dyDescent="0.25">
      <c r="A5" s="98"/>
      <c r="B5" s="56" t="s">
        <v>48</v>
      </c>
      <c r="C5" s="57" t="s">
        <v>63</v>
      </c>
      <c r="D5" s="87">
        <v>45</v>
      </c>
      <c r="E5" s="53" t="s">
        <v>66</v>
      </c>
      <c r="F5" s="53" t="s">
        <v>208</v>
      </c>
      <c r="G5" s="54">
        <f>MOD(D5,360)</f>
        <v>45</v>
      </c>
      <c r="H5" s="55"/>
      <c r="I5" s="55"/>
      <c r="J5" s="55"/>
      <c r="K5" s="34"/>
      <c r="L5" s="34"/>
      <c r="M5" s="34"/>
      <c r="N5" s="34"/>
      <c r="O5" s="34"/>
      <c r="P5" s="34"/>
      <c r="Q5" s="100"/>
      <c r="R5" s="80" t="s">
        <v>254</v>
      </c>
      <c r="S5" s="81" t="s">
        <v>101</v>
      </c>
      <c r="T5" s="94">
        <v>75</v>
      </c>
      <c r="U5" s="81" t="s">
        <v>102</v>
      </c>
      <c r="V5" s="81" t="s">
        <v>214</v>
      </c>
      <c r="W5" s="54">
        <f>MIN(MAX(0,T5),100)</f>
        <v>75</v>
      </c>
    </row>
    <row r="6" spans="1:25" ht="15" customHeight="1" x14ac:dyDescent="0.25">
      <c r="A6" s="98"/>
      <c r="B6" s="59" t="s">
        <v>49</v>
      </c>
      <c r="C6" s="60" t="s">
        <v>62</v>
      </c>
      <c r="D6" s="88">
        <v>1</v>
      </c>
      <c r="E6" s="61" t="s">
        <v>0</v>
      </c>
      <c r="F6" s="61" t="s">
        <v>205</v>
      </c>
      <c r="G6" s="54">
        <f>MIN(MAX(0,D6),5)</f>
        <v>1</v>
      </c>
      <c r="H6" s="55"/>
      <c r="I6" s="55"/>
      <c r="J6" s="55"/>
      <c r="K6" s="34"/>
      <c r="L6" s="34"/>
      <c r="M6" s="34"/>
      <c r="N6" s="34"/>
      <c r="O6" s="34"/>
      <c r="P6" s="34"/>
      <c r="Q6" s="101" t="s">
        <v>256</v>
      </c>
      <c r="R6" s="69" t="s">
        <v>69</v>
      </c>
      <c r="S6" s="70" t="s">
        <v>70</v>
      </c>
      <c r="T6" s="91">
        <v>300</v>
      </c>
      <c r="U6" s="70" t="s">
        <v>0</v>
      </c>
      <c r="V6" s="70" t="s">
        <v>258</v>
      </c>
      <c r="W6" s="54">
        <f>MIN(MAX(100,T6),500)</f>
        <v>300</v>
      </c>
    </row>
    <row r="7" spans="1:25" x14ac:dyDescent="0.25">
      <c r="A7" s="98"/>
      <c r="B7" s="59" t="s">
        <v>50</v>
      </c>
      <c r="C7" s="60" t="s">
        <v>61</v>
      </c>
      <c r="D7" s="88">
        <v>6</v>
      </c>
      <c r="E7" s="61" t="s">
        <v>148</v>
      </c>
      <c r="F7" s="61" t="s">
        <v>206</v>
      </c>
      <c r="G7" s="54">
        <f>MIN(MAX(1,D7),25)</f>
        <v>6</v>
      </c>
      <c r="H7" s="55"/>
      <c r="I7" s="55"/>
      <c r="J7" s="55"/>
      <c r="K7" s="34"/>
      <c r="L7" s="34"/>
      <c r="M7" s="34"/>
      <c r="N7" s="34"/>
      <c r="O7" s="34"/>
      <c r="P7" s="34"/>
      <c r="Q7" s="101"/>
      <c r="R7" s="69" t="s">
        <v>74</v>
      </c>
      <c r="S7" s="70" t="s">
        <v>71</v>
      </c>
      <c r="T7" s="91">
        <v>50</v>
      </c>
      <c r="U7" s="70" t="s">
        <v>0</v>
      </c>
      <c r="V7" s="70" t="s">
        <v>204</v>
      </c>
      <c r="W7" s="54">
        <f>MIN(MAX(30,T7),80)</f>
        <v>50</v>
      </c>
    </row>
    <row r="8" spans="1:25" x14ac:dyDescent="0.25">
      <c r="A8" s="98"/>
      <c r="B8" s="59" t="s">
        <v>115</v>
      </c>
      <c r="C8" s="62" t="s">
        <v>116</v>
      </c>
      <c r="D8" s="88">
        <v>1</v>
      </c>
      <c r="E8" s="61"/>
      <c r="F8" s="61" t="s">
        <v>207</v>
      </c>
      <c r="G8" s="54">
        <f>MIN(MAX(1,D8),7)</f>
        <v>1</v>
      </c>
      <c r="H8" s="55"/>
      <c r="I8" s="55"/>
      <c r="J8" s="55"/>
      <c r="K8" s="34"/>
      <c r="L8" s="34"/>
      <c r="M8" s="34"/>
      <c r="N8" s="34"/>
      <c r="O8" s="34"/>
      <c r="P8" s="34"/>
      <c r="Q8" s="101"/>
      <c r="R8" s="69" t="s">
        <v>75</v>
      </c>
      <c r="S8" s="70" t="s">
        <v>72</v>
      </c>
      <c r="T8" s="91">
        <v>15</v>
      </c>
      <c r="U8" s="70" t="s">
        <v>0</v>
      </c>
      <c r="V8" s="70" t="s">
        <v>203</v>
      </c>
      <c r="W8" s="54">
        <f>MIN(MAX(5,T8),25)</f>
        <v>15</v>
      </c>
    </row>
    <row r="9" spans="1:25" ht="15.75" x14ac:dyDescent="0.25">
      <c r="A9" s="98"/>
      <c r="B9" s="59" t="s">
        <v>51</v>
      </c>
      <c r="C9" s="60" t="s">
        <v>60</v>
      </c>
      <c r="D9" s="88">
        <v>90</v>
      </c>
      <c r="E9" s="61" t="s">
        <v>66</v>
      </c>
      <c r="F9" s="61" t="s">
        <v>208</v>
      </c>
      <c r="G9" s="54">
        <f>MOD(D9,360)</f>
        <v>90</v>
      </c>
      <c r="H9" s="55"/>
      <c r="I9" s="55"/>
      <c r="J9" s="55"/>
      <c r="K9" s="34"/>
      <c r="L9" s="34"/>
      <c r="M9" s="34"/>
      <c r="N9" s="34"/>
      <c r="O9" s="34"/>
      <c r="P9" s="34"/>
      <c r="Q9" s="101"/>
      <c r="R9" s="69" t="s">
        <v>76</v>
      </c>
      <c r="S9" s="70" t="s">
        <v>73</v>
      </c>
      <c r="T9" s="91">
        <v>2000</v>
      </c>
      <c r="U9" s="70" t="s">
        <v>257</v>
      </c>
      <c r="V9" s="70" t="s">
        <v>253</v>
      </c>
      <c r="W9" s="54">
        <f>MIN(MAX(5*W6,T9),60*W6)</f>
        <v>2000</v>
      </c>
    </row>
    <row r="10" spans="1:25" ht="15" customHeight="1" x14ac:dyDescent="0.25">
      <c r="A10" s="98"/>
      <c r="B10" s="56" t="s">
        <v>52</v>
      </c>
      <c r="C10" s="57" t="s">
        <v>59</v>
      </c>
      <c r="D10" s="87">
        <v>20</v>
      </c>
      <c r="E10" s="53" t="s">
        <v>67</v>
      </c>
      <c r="F10" s="53" t="s">
        <v>209</v>
      </c>
      <c r="G10" s="54">
        <f>MIN(MAX(0,D10),50)</f>
        <v>20</v>
      </c>
      <c r="H10" s="55"/>
      <c r="I10" s="55"/>
      <c r="J10" s="55"/>
      <c r="K10" s="34"/>
      <c r="L10" s="34"/>
      <c r="M10" s="34"/>
      <c r="N10" s="34"/>
      <c r="O10" s="34"/>
      <c r="P10" s="34"/>
      <c r="Q10" s="101"/>
      <c r="R10" s="69" t="s">
        <v>77</v>
      </c>
      <c r="S10" s="70" t="s">
        <v>78</v>
      </c>
      <c r="T10" s="91">
        <v>120</v>
      </c>
      <c r="U10" s="70" t="s">
        <v>0</v>
      </c>
      <c r="V10" s="70" t="s">
        <v>202</v>
      </c>
      <c r="W10" s="54">
        <f>MIN(MAX(0,T10),W6)</f>
        <v>120</v>
      </c>
    </row>
    <row r="11" spans="1:25" ht="15" customHeight="1" x14ac:dyDescent="0.25">
      <c r="A11" s="98"/>
      <c r="B11" s="56" t="s">
        <v>53</v>
      </c>
      <c r="C11" s="57" t="s">
        <v>58</v>
      </c>
      <c r="D11" s="87">
        <v>0</v>
      </c>
      <c r="E11" s="53" t="s">
        <v>66</v>
      </c>
      <c r="F11" s="53" t="s">
        <v>208</v>
      </c>
      <c r="G11" s="54">
        <f>MOD(D11,360)</f>
        <v>0</v>
      </c>
      <c r="H11" s="55"/>
      <c r="I11" s="55"/>
      <c r="J11" s="55"/>
      <c r="K11" s="34"/>
      <c r="L11" s="34"/>
      <c r="M11" s="34"/>
      <c r="N11" s="34"/>
      <c r="O11" s="34"/>
      <c r="P11" s="34"/>
      <c r="Q11" s="102" t="s">
        <v>12</v>
      </c>
      <c r="R11" s="82" t="s">
        <v>24</v>
      </c>
      <c r="S11" s="83" t="s">
        <v>25</v>
      </c>
      <c r="T11" s="95">
        <v>100</v>
      </c>
      <c r="U11" s="83" t="s">
        <v>0</v>
      </c>
      <c r="V11" s="83" t="s">
        <v>218</v>
      </c>
      <c r="W11" s="54">
        <f>MIN(MAX(30,ABS(T11)),10000)</f>
        <v>100</v>
      </c>
    </row>
    <row r="12" spans="1:25" x14ac:dyDescent="0.25">
      <c r="A12" s="98"/>
      <c r="B12" s="59" t="s">
        <v>54</v>
      </c>
      <c r="C12" s="61" t="s">
        <v>57</v>
      </c>
      <c r="D12" s="88">
        <v>1</v>
      </c>
      <c r="E12" s="61" t="s">
        <v>67</v>
      </c>
      <c r="F12" s="61" t="s">
        <v>210</v>
      </c>
      <c r="G12" s="54">
        <f>MIN(MAX(0,D12),10)</f>
        <v>1</v>
      </c>
      <c r="H12" s="55"/>
      <c r="I12" s="55"/>
      <c r="J12" s="55"/>
      <c r="K12" s="34"/>
      <c r="L12" s="34"/>
      <c r="M12" s="34"/>
      <c r="N12" s="34"/>
      <c r="O12" s="34"/>
      <c r="P12" s="34"/>
      <c r="Q12" s="102"/>
      <c r="R12" s="82" t="s">
        <v>228</v>
      </c>
      <c r="S12" s="84" t="s">
        <v>7</v>
      </c>
      <c r="T12" s="95">
        <v>3</v>
      </c>
      <c r="U12" s="85" t="s">
        <v>4</v>
      </c>
      <c r="V12" s="83" t="s">
        <v>213</v>
      </c>
      <c r="W12" s="54">
        <f>MIN(MAX(1,ROUND(T12,0)),40)</f>
        <v>3</v>
      </c>
    </row>
    <row r="13" spans="1:25" x14ac:dyDescent="0.25">
      <c r="A13" s="98"/>
      <c r="B13" s="59" t="s">
        <v>55</v>
      </c>
      <c r="C13" s="61" t="s">
        <v>56</v>
      </c>
      <c r="D13" s="88">
        <v>170</v>
      </c>
      <c r="E13" s="61" t="s">
        <v>66</v>
      </c>
      <c r="F13" s="61" t="s">
        <v>208</v>
      </c>
      <c r="G13" s="54">
        <f>MOD(D13,360)</f>
        <v>170</v>
      </c>
      <c r="H13" s="55"/>
      <c r="I13" s="55"/>
      <c r="J13" s="55"/>
      <c r="K13" s="34"/>
      <c r="L13" s="34"/>
      <c r="M13" s="34"/>
      <c r="N13" s="34"/>
      <c r="O13" s="34"/>
      <c r="P13" s="34"/>
      <c r="Q13" s="102"/>
      <c r="R13" s="82" t="s">
        <v>117</v>
      </c>
      <c r="S13" s="84" t="s">
        <v>6</v>
      </c>
      <c r="T13" s="95">
        <v>3</v>
      </c>
      <c r="U13" s="85" t="s">
        <v>4</v>
      </c>
      <c r="V13" s="83" t="str">
        <f>CONCATENATE("[0:",FLOOR(40/(W12),1),"]")</f>
        <v>[0:13]</v>
      </c>
      <c r="W13" s="54">
        <f>MIN(MAX(1,ROUND(T13,0)),FLOOR(40/W12,1))</f>
        <v>3</v>
      </c>
    </row>
    <row r="14" spans="1:25" ht="15" customHeight="1" x14ac:dyDescent="0.25">
      <c r="A14" s="99" t="s">
        <v>91</v>
      </c>
      <c r="B14" s="63" t="s">
        <v>79</v>
      </c>
      <c r="C14" s="64" t="s">
        <v>85</v>
      </c>
      <c r="D14" s="89">
        <v>0</v>
      </c>
      <c r="E14" s="65" t="s">
        <v>11</v>
      </c>
      <c r="F14" s="64"/>
      <c r="G14" s="54">
        <f>D14</f>
        <v>0</v>
      </c>
      <c r="H14" s="55"/>
      <c r="I14" s="55"/>
      <c r="J14" s="55"/>
      <c r="K14" s="34"/>
      <c r="L14" s="34"/>
      <c r="M14" s="34"/>
      <c r="N14" s="34"/>
      <c r="O14" s="34"/>
      <c r="P14" s="34"/>
      <c r="Q14" s="102"/>
      <c r="R14" s="82" t="s">
        <v>2</v>
      </c>
      <c r="S14" s="84" t="s">
        <v>5</v>
      </c>
      <c r="T14" s="95">
        <v>5</v>
      </c>
      <c r="U14" s="83" t="s">
        <v>3</v>
      </c>
      <c r="V14" s="83" t="str">
        <f>CONCATENATE("[0:",FLOOR(360/(W12*W13),1),"]")</f>
        <v>[0:40]</v>
      </c>
      <c r="W14" s="54">
        <f>MIN(MAX(0,T14),FLOOR(360/(W12*W13),1))</f>
        <v>5</v>
      </c>
    </row>
    <row r="15" spans="1:25" x14ac:dyDescent="0.25">
      <c r="A15" s="99"/>
      <c r="B15" s="63" t="s">
        <v>82</v>
      </c>
      <c r="C15" s="64" t="s">
        <v>86</v>
      </c>
      <c r="D15" s="89">
        <v>90</v>
      </c>
      <c r="E15" s="65" t="s">
        <v>66</v>
      </c>
      <c r="F15" s="64" t="s">
        <v>201</v>
      </c>
      <c r="G15" s="54">
        <f>MOD(D15,360)</f>
        <v>90</v>
      </c>
      <c r="H15" s="55"/>
      <c r="I15" s="55"/>
      <c r="J15" s="55"/>
      <c r="K15" s="34"/>
      <c r="L15" s="34"/>
      <c r="M15" s="34"/>
      <c r="N15" s="34"/>
      <c r="O15" s="34"/>
      <c r="P15" s="34"/>
      <c r="Q15" s="102"/>
      <c r="R15" s="82" t="s">
        <v>255</v>
      </c>
      <c r="S15" s="84" t="s">
        <v>8</v>
      </c>
      <c r="T15" s="95">
        <v>20</v>
      </c>
      <c r="U15" s="83" t="s">
        <v>3</v>
      </c>
      <c r="V15" s="83" t="s">
        <v>201</v>
      </c>
      <c r="W15" s="54">
        <f>MOD(T15,360)</f>
        <v>20</v>
      </c>
    </row>
    <row r="16" spans="1:25" x14ac:dyDescent="0.25">
      <c r="A16" s="99"/>
      <c r="B16" s="63" t="s">
        <v>80</v>
      </c>
      <c r="C16" s="64" t="s">
        <v>89</v>
      </c>
      <c r="D16" s="89">
        <v>-150</v>
      </c>
      <c r="E16" s="65" t="s">
        <v>0</v>
      </c>
      <c r="F16" s="64" t="s">
        <v>200</v>
      </c>
      <c r="G16" s="54">
        <f>MIN(MAX(-W6,D16),W6)</f>
        <v>-150</v>
      </c>
      <c r="H16" s="55"/>
      <c r="I16" s="55"/>
      <c r="J16" s="55"/>
      <c r="K16" s="34"/>
      <c r="L16" s="34"/>
      <c r="M16" s="34"/>
      <c r="N16" s="34"/>
      <c r="O16" s="34"/>
      <c r="P16" s="34"/>
      <c r="Q16" s="102"/>
      <c r="R16" s="82" t="s">
        <v>9</v>
      </c>
      <c r="S16" s="84" t="s">
        <v>14</v>
      </c>
      <c r="T16" s="95">
        <v>1000</v>
      </c>
      <c r="U16" s="83" t="s">
        <v>0</v>
      </c>
      <c r="V16" s="83" t="s">
        <v>252</v>
      </c>
      <c r="W16" s="54">
        <f>MAX(W11,T16)</f>
        <v>1000</v>
      </c>
    </row>
    <row r="17" spans="1:23" x14ac:dyDescent="0.25">
      <c r="A17" s="99"/>
      <c r="B17" s="63" t="s">
        <v>81</v>
      </c>
      <c r="C17" s="64" t="s">
        <v>90</v>
      </c>
      <c r="D17" s="89">
        <v>10</v>
      </c>
      <c r="E17" s="65" t="s">
        <v>0</v>
      </c>
      <c r="F17" s="64" t="s">
        <v>212</v>
      </c>
      <c r="G17" s="54">
        <f>MIN(MAX(-W7,D17),W7)</f>
        <v>10</v>
      </c>
      <c r="H17" s="55"/>
      <c r="I17" s="55"/>
      <c r="J17" s="55"/>
      <c r="K17" s="34"/>
      <c r="L17" s="34"/>
      <c r="M17" s="34"/>
      <c r="N17" s="34"/>
      <c r="O17" s="34"/>
      <c r="P17" s="34"/>
      <c r="Q17" s="102"/>
      <c r="R17" s="82" t="s">
        <v>10</v>
      </c>
      <c r="S17" s="83" t="s">
        <v>16</v>
      </c>
      <c r="T17" s="95">
        <v>200</v>
      </c>
      <c r="U17" s="84" t="s">
        <v>11</v>
      </c>
      <c r="V17" s="83" t="str">
        <f>CONCATENATE("[",1+ROUND(W18*W11/9810,0),":200]")</f>
        <v>[2:200]</v>
      </c>
      <c r="W17" s="54">
        <f>MIN(MAX(,1+ROUND(W18*W11/9810,0),T17),200)</f>
        <v>200</v>
      </c>
    </row>
    <row r="18" spans="1:23" x14ac:dyDescent="0.25">
      <c r="A18" s="103" t="s">
        <v>92</v>
      </c>
      <c r="B18" s="66" t="s">
        <v>79</v>
      </c>
      <c r="C18" s="67" t="s">
        <v>87</v>
      </c>
      <c r="D18" s="90">
        <v>0</v>
      </c>
      <c r="E18" s="68" t="s">
        <v>11</v>
      </c>
      <c r="F18" s="67"/>
      <c r="G18" s="54">
        <f>D18</f>
        <v>0</v>
      </c>
      <c r="H18" s="55"/>
      <c r="I18" s="55"/>
      <c r="J18" s="55"/>
      <c r="K18" s="34"/>
      <c r="L18" s="34"/>
      <c r="M18" s="34"/>
      <c r="N18" s="34"/>
      <c r="O18" s="34"/>
      <c r="P18" s="34"/>
      <c r="Q18" s="102"/>
      <c r="R18" s="82" t="s">
        <v>264</v>
      </c>
      <c r="S18" s="83" t="s">
        <v>265</v>
      </c>
      <c r="T18" s="95" t="s">
        <v>269</v>
      </c>
      <c r="U18" s="83"/>
      <c r="V18" s="83"/>
      <c r="W18" s="76">
        <f>(VLOOKUP(T18,Vis!E57:F60,2,FALSE)*W19^2)</f>
        <v>99.548740800000004</v>
      </c>
    </row>
    <row r="19" spans="1:23" x14ac:dyDescent="0.25">
      <c r="A19" s="103"/>
      <c r="B19" s="66" t="s">
        <v>82</v>
      </c>
      <c r="C19" s="67" t="s">
        <v>88</v>
      </c>
      <c r="D19" s="90">
        <v>0</v>
      </c>
      <c r="E19" s="67" t="s">
        <v>66</v>
      </c>
      <c r="F19" s="67" t="s">
        <v>201</v>
      </c>
      <c r="G19" s="54">
        <f>MOD(D19,360)</f>
        <v>0</v>
      </c>
      <c r="H19" s="55"/>
      <c r="I19" s="55"/>
      <c r="J19" s="55"/>
      <c r="K19" s="34"/>
      <c r="L19" s="34"/>
      <c r="M19" s="34"/>
      <c r="N19" s="34"/>
      <c r="O19" s="34"/>
      <c r="P19" s="34"/>
      <c r="Q19" s="102"/>
      <c r="R19" s="82" t="str">
        <f>IF(T18=Vis!E60,"Mooring line weight in water","Mooring line diameter")</f>
        <v>Mooring line diameter</v>
      </c>
      <c r="S19" s="83" t="str">
        <f>IF(T18=Vis!E60,"MM","MD")</f>
        <v>MD</v>
      </c>
      <c r="T19" s="95">
        <v>54</v>
      </c>
      <c r="U19" s="83" t="str">
        <f>IF(T18=Vis!E60,"N/m","mm")</f>
        <v>mm</v>
      </c>
      <c r="V19" s="83" t="str">
        <f>IF(T18=Vis!E60,"[1:1000]",CONCATENATE("[20:",VLOOKUP(T18,Vis!E57:G60,3,FALSE),"]"))</f>
        <v>[20:200]</v>
      </c>
      <c r="W19" s="54">
        <f>IF(T18=Vis!E60,MAX(MIN(1000,T19),0.1),MIN(MAX(20,T19),VLOOKUP(T18,Vis!E55:G59,3,FALSE)))</f>
        <v>54</v>
      </c>
    </row>
    <row r="20" spans="1:23" ht="15" customHeight="1" x14ac:dyDescent="0.25">
      <c r="A20" s="103"/>
      <c r="B20" s="66" t="s">
        <v>80</v>
      </c>
      <c r="C20" s="67" t="s">
        <v>83</v>
      </c>
      <c r="D20" s="90">
        <v>-100</v>
      </c>
      <c r="E20" s="67" t="s">
        <v>0</v>
      </c>
      <c r="F20" s="67" t="s">
        <v>200</v>
      </c>
      <c r="G20" s="54">
        <f>MIN(MAX(-W6,D20),W6)</f>
        <v>-100</v>
      </c>
      <c r="H20" s="55"/>
      <c r="I20" s="55"/>
      <c r="J20" s="55"/>
      <c r="K20" s="34"/>
      <c r="L20" s="34"/>
      <c r="M20" s="34"/>
      <c r="N20" s="34"/>
      <c r="O20" s="34"/>
      <c r="P20" s="34"/>
      <c r="Q20" s="99" t="s">
        <v>247</v>
      </c>
      <c r="R20" s="63" t="s">
        <v>26</v>
      </c>
      <c r="S20" s="64" t="s">
        <v>27</v>
      </c>
      <c r="T20" s="89">
        <v>10</v>
      </c>
      <c r="U20" s="64" t="s">
        <v>0</v>
      </c>
      <c r="V20" s="64" t="str">
        <f>CONCATENATE("[0:",W11,"]")</f>
        <v>[0:100]</v>
      </c>
      <c r="W20" s="54">
        <f>MIN(MAX(0,T20),W11)</f>
        <v>10</v>
      </c>
    </row>
    <row r="21" spans="1:23" x14ac:dyDescent="0.25">
      <c r="A21" s="103"/>
      <c r="B21" s="66" t="s">
        <v>81</v>
      </c>
      <c r="C21" s="67" t="s">
        <v>84</v>
      </c>
      <c r="D21" s="90">
        <v>0</v>
      </c>
      <c r="E21" s="67" t="s">
        <v>0</v>
      </c>
      <c r="F21" s="67" t="s">
        <v>212</v>
      </c>
      <c r="G21" s="54">
        <f>MIN(MAX(-W7,D21),W7)</f>
        <v>0</v>
      </c>
      <c r="H21" s="55"/>
      <c r="I21" s="55"/>
      <c r="J21" s="55"/>
      <c r="K21" s="34"/>
      <c r="L21" s="34"/>
      <c r="M21" s="34"/>
      <c r="N21" s="34"/>
      <c r="O21" s="34"/>
      <c r="P21" s="34"/>
      <c r="Q21" s="99"/>
      <c r="R21" s="63" t="s">
        <v>31</v>
      </c>
      <c r="S21" s="64" t="s">
        <v>30</v>
      </c>
      <c r="T21" s="89">
        <v>10</v>
      </c>
      <c r="U21" s="64" t="s">
        <v>0</v>
      </c>
      <c r="V21" s="64" t="s">
        <v>219</v>
      </c>
      <c r="W21" s="54">
        <f>MIN(MAX(0,T21),500)</f>
        <v>10</v>
      </c>
    </row>
    <row r="22" spans="1:23" x14ac:dyDescent="0.25">
      <c r="A22" s="101" t="s">
        <v>250</v>
      </c>
      <c r="B22" s="69" t="s">
        <v>93</v>
      </c>
      <c r="C22" s="70" t="s">
        <v>103</v>
      </c>
      <c r="D22" s="91">
        <v>90</v>
      </c>
      <c r="E22" s="70" t="s">
        <v>66</v>
      </c>
      <c r="F22" s="70" t="s">
        <v>201</v>
      </c>
      <c r="G22" s="54">
        <f>MOD(D22,360)</f>
        <v>90</v>
      </c>
      <c r="H22" s="55"/>
      <c r="I22" s="55"/>
      <c r="J22" s="55"/>
      <c r="K22" s="34"/>
      <c r="L22" s="34"/>
      <c r="M22" s="34"/>
      <c r="N22" s="34"/>
      <c r="O22" s="34"/>
      <c r="P22" s="34"/>
      <c r="Q22" s="99"/>
      <c r="R22" s="63" t="s">
        <v>22</v>
      </c>
      <c r="S22" s="64" t="s">
        <v>29</v>
      </c>
      <c r="T22" s="89">
        <v>20</v>
      </c>
      <c r="U22" s="64" t="s">
        <v>3</v>
      </c>
      <c r="V22" s="64" t="s">
        <v>201</v>
      </c>
      <c r="W22" s="54">
        <f>MOD(T22,360)</f>
        <v>20</v>
      </c>
    </row>
    <row r="23" spans="1:23" x14ac:dyDescent="0.25">
      <c r="A23" s="101"/>
      <c r="B23" s="69" t="s">
        <v>111</v>
      </c>
      <c r="C23" s="71" t="s">
        <v>112</v>
      </c>
      <c r="D23" s="91">
        <v>5</v>
      </c>
      <c r="E23" s="70" t="s">
        <v>66</v>
      </c>
      <c r="F23" s="70" t="s">
        <v>211</v>
      </c>
      <c r="G23" s="54">
        <f>MIN(MAX(0,D23),180)</f>
        <v>5</v>
      </c>
      <c r="H23" s="55"/>
      <c r="I23" s="55"/>
      <c r="J23" s="55"/>
      <c r="K23" s="34"/>
      <c r="L23" s="34"/>
      <c r="M23" s="34"/>
      <c r="N23" s="34"/>
      <c r="O23" s="34"/>
      <c r="P23" s="34"/>
      <c r="Q23" s="99"/>
      <c r="R23" s="63" t="s">
        <v>23</v>
      </c>
      <c r="S23" s="64" t="s">
        <v>28</v>
      </c>
      <c r="T23" s="89">
        <v>125</v>
      </c>
      <c r="U23" s="64" t="s">
        <v>0</v>
      </c>
      <c r="V23" s="64" t="s">
        <v>216</v>
      </c>
      <c r="W23" s="54">
        <f>MIN(MAX(0,T23),1000)</f>
        <v>125</v>
      </c>
    </row>
    <row r="24" spans="1:23" ht="15" customHeight="1" x14ac:dyDescent="0.25">
      <c r="A24" s="101"/>
      <c r="B24" s="69" t="s">
        <v>94</v>
      </c>
      <c r="C24" s="71" t="s">
        <v>104</v>
      </c>
      <c r="D24" s="91">
        <v>-150</v>
      </c>
      <c r="E24" s="70" t="s">
        <v>0</v>
      </c>
      <c r="F24" s="70" t="str">
        <f>CONCATENATE("[-",ROUND(W6,0),":",ROUND(W6,0),"]")</f>
        <v>[-300:300]</v>
      </c>
      <c r="G24" s="54">
        <f>MIN(MAX(-W6,D24),W6)</f>
        <v>-150</v>
      </c>
      <c r="H24" s="55"/>
      <c r="I24" s="55"/>
      <c r="J24" s="55"/>
      <c r="K24" s="34"/>
      <c r="L24" s="34"/>
      <c r="M24" s="34"/>
      <c r="N24" s="34"/>
      <c r="O24" s="34"/>
      <c r="P24" s="34"/>
      <c r="Q24" s="103" t="s">
        <v>248</v>
      </c>
      <c r="R24" s="66" t="s">
        <v>26</v>
      </c>
      <c r="S24" s="67" t="s">
        <v>38</v>
      </c>
      <c r="T24" s="90">
        <v>20</v>
      </c>
      <c r="U24" s="67" t="s">
        <v>0</v>
      </c>
      <c r="V24" s="67" t="str">
        <f>CONCATENATE("[0:",W11,"]")</f>
        <v>[0:100]</v>
      </c>
      <c r="W24" s="54">
        <f>MIN(MAX(0,T24),W23)</f>
        <v>20</v>
      </c>
    </row>
    <row r="25" spans="1:23" x14ac:dyDescent="0.25">
      <c r="A25" s="101"/>
      <c r="B25" s="69" t="s">
        <v>260</v>
      </c>
      <c r="C25" s="71" t="s">
        <v>105</v>
      </c>
      <c r="D25" s="91">
        <v>0</v>
      </c>
      <c r="E25" s="70" t="s">
        <v>0</v>
      </c>
      <c r="F25" s="70" t="str">
        <f>CONCATENATE("[-",W7,":",W7,"]")</f>
        <v>[-50:50]</v>
      </c>
      <c r="G25" s="54">
        <f>MIN(MAX(-W7,D25),W7)</f>
        <v>0</v>
      </c>
      <c r="H25" s="55"/>
      <c r="I25" s="55"/>
      <c r="J25" s="55"/>
      <c r="K25" s="34"/>
      <c r="L25" s="34"/>
      <c r="M25" s="34"/>
      <c r="N25" s="34"/>
      <c r="O25" s="34"/>
      <c r="P25" s="34"/>
      <c r="Q25" s="103"/>
      <c r="R25" s="66" t="s">
        <v>32</v>
      </c>
      <c r="S25" s="67" t="s">
        <v>39</v>
      </c>
      <c r="T25" s="90">
        <v>15</v>
      </c>
      <c r="U25" s="67" t="s">
        <v>0</v>
      </c>
      <c r="V25" s="67" t="s">
        <v>219</v>
      </c>
      <c r="W25" s="54">
        <f>MIN(MAX(0,T25),500)</f>
        <v>15</v>
      </c>
    </row>
    <row r="26" spans="1:23" x14ac:dyDescent="0.25">
      <c r="A26" s="101"/>
      <c r="B26" s="69" t="s">
        <v>95</v>
      </c>
      <c r="C26" s="71" t="s">
        <v>106</v>
      </c>
      <c r="D26" s="92">
        <v>1</v>
      </c>
      <c r="E26" s="72" t="s">
        <v>4</v>
      </c>
      <c r="F26" s="70" t="s">
        <v>182</v>
      </c>
      <c r="G26" s="54">
        <f>MIN(MAX(1,ROUND(D26,0)),2)</f>
        <v>1</v>
      </c>
      <c r="H26" s="55"/>
      <c r="I26" s="55"/>
      <c r="J26" s="55"/>
      <c r="K26" s="34"/>
      <c r="L26" s="34"/>
      <c r="M26" s="34"/>
      <c r="N26" s="34"/>
      <c r="O26" s="34"/>
      <c r="P26" s="34"/>
      <c r="Q26" s="103"/>
      <c r="R26" s="66" t="s">
        <v>22</v>
      </c>
      <c r="S26" s="67" t="s">
        <v>40</v>
      </c>
      <c r="T26" s="90">
        <v>70</v>
      </c>
      <c r="U26" s="67" t="s">
        <v>3</v>
      </c>
      <c r="V26" s="67" t="s">
        <v>201</v>
      </c>
      <c r="W26" s="54">
        <f>MOD(T26,360)</f>
        <v>70</v>
      </c>
    </row>
    <row r="27" spans="1:23" x14ac:dyDescent="0.25">
      <c r="A27" s="101"/>
      <c r="B27" s="69" t="s">
        <v>96</v>
      </c>
      <c r="C27" s="71" t="s">
        <v>107</v>
      </c>
      <c r="D27" s="91">
        <v>60</v>
      </c>
      <c r="E27" s="70" t="s">
        <v>66</v>
      </c>
      <c r="F27" s="70" t="s">
        <v>211</v>
      </c>
      <c r="G27" s="73">
        <f>IF(G26=2,MIN(MAX(0,D27),180),0)</f>
        <v>0</v>
      </c>
      <c r="H27" s="55"/>
      <c r="I27" s="55"/>
      <c r="J27" s="55"/>
      <c r="K27" s="34"/>
      <c r="L27" s="34"/>
      <c r="M27" s="34"/>
      <c r="N27" s="34"/>
      <c r="O27" s="34"/>
      <c r="P27" s="34"/>
      <c r="Q27" s="103"/>
      <c r="R27" s="66" t="s">
        <v>23</v>
      </c>
      <c r="S27" s="67" t="s">
        <v>41</v>
      </c>
      <c r="T27" s="90">
        <v>200</v>
      </c>
      <c r="U27" s="67" t="s">
        <v>0</v>
      </c>
      <c r="V27" s="67" t="s">
        <v>216</v>
      </c>
      <c r="W27" s="54">
        <f>MIN(MAX(0,T27),1000)</f>
        <v>200</v>
      </c>
    </row>
    <row r="28" spans="1:23" ht="15" customHeight="1" x14ac:dyDescent="0.25">
      <c r="A28" s="101"/>
      <c r="B28" s="69" t="s">
        <v>231</v>
      </c>
      <c r="C28" s="71" t="s">
        <v>109</v>
      </c>
      <c r="D28" s="93">
        <v>135</v>
      </c>
      <c r="E28" s="71" t="s">
        <v>66</v>
      </c>
      <c r="F28" s="70" t="str">
        <f>CONCATENATE("&lt;",165-G27/2)</f>
        <v>&lt;165</v>
      </c>
      <c r="G28" s="54">
        <f>MIN(MAX(0.2,D28),165-G27/2)</f>
        <v>135</v>
      </c>
      <c r="H28" s="55"/>
      <c r="I28" s="55"/>
      <c r="J28" s="55"/>
      <c r="K28" s="34"/>
      <c r="L28" s="34"/>
      <c r="M28" s="34"/>
      <c r="N28" s="34"/>
      <c r="O28" s="34"/>
      <c r="P28" s="34"/>
      <c r="Q28" s="99" t="s">
        <v>249</v>
      </c>
      <c r="R28" s="63" t="s">
        <v>26</v>
      </c>
      <c r="S28" s="64" t="s">
        <v>34</v>
      </c>
      <c r="T28" s="89">
        <v>30</v>
      </c>
      <c r="U28" s="64" t="s">
        <v>0</v>
      </c>
      <c r="V28" s="64" t="str">
        <f>CONCATENATE("[0:",W11,"]")</f>
        <v>[0:100]</v>
      </c>
      <c r="W28" s="54">
        <f>MIN(MAX(0,T28),W27)</f>
        <v>30</v>
      </c>
    </row>
    <row r="29" spans="1:23" x14ac:dyDescent="0.25">
      <c r="A29" s="101"/>
      <c r="B29" s="69" t="s">
        <v>232</v>
      </c>
      <c r="C29" s="71" t="s">
        <v>108</v>
      </c>
      <c r="D29" s="93">
        <v>280</v>
      </c>
      <c r="E29" s="71" t="s">
        <v>66</v>
      </c>
      <c r="F29" s="70" t="str">
        <f>CONCATENATE("&gt;",195+G27/2)</f>
        <v>&gt;195</v>
      </c>
      <c r="G29" s="54">
        <f>MIN(MAX(195+G27/2,D29),359.8)</f>
        <v>280</v>
      </c>
      <c r="H29" s="55"/>
      <c r="I29" s="55"/>
      <c r="J29" s="55"/>
      <c r="K29" s="34"/>
      <c r="L29" s="34"/>
      <c r="M29" s="34"/>
      <c r="N29" s="34"/>
      <c r="O29" s="34"/>
      <c r="P29" s="34"/>
      <c r="Q29" s="99"/>
      <c r="R29" s="63" t="s">
        <v>33</v>
      </c>
      <c r="S29" s="64" t="s">
        <v>35</v>
      </c>
      <c r="T29" s="89">
        <v>20</v>
      </c>
      <c r="U29" s="64" t="s">
        <v>0</v>
      </c>
      <c r="V29" s="64" t="s">
        <v>219</v>
      </c>
      <c r="W29" s="54">
        <f>MIN(MAX(0,T29),500)</f>
        <v>20</v>
      </c>
    </row>
    <row r="30" spans="1:23" ht="15" customHeight="1" x14ac:dyDescent="0.25">
      <c r="A30" s="98" t="s">
        <v>1</v>
      </c>
      <c r="B30" s="56" t="s">
        <v>21</v>
      </c>
      <c r="C30" s="53" t="s">
        <v>13</v>
      </c>
      <c r="D30" s="87">
        <v>600</v>
      </c>
      <c r="E30" s="53" t="s">
        <v>0</v>
      </c>
      <c r="F30" s="53" t="s">
        <v>215</v>
      </c>
      <c r="G30" s="54">
        <f>MIN(MAX(0,D30),600)</f>
        <v>600</v>
      </c>
      <c r="P30" s="34"/>
      <c r="Q30" s="99"/>
      <c r="R30" s="63" t="s">
        <v>22</v>
      </c>
      <c r="S30" s="64" t="s">
        <v>36</v>
      </c>
      <c r="T30" s="89">
        <v>250</v>
      </c>
      <c r="U30" s="64" t="s">
        <v>3</v>
      </c>
      <c r="V30" s="64" t="s">
        <v>201</v>
      </c>
      <c r="W30" s="54">
        <f>MOD(T30,360)</f>
        <v>250</v>
      </c>
    </row>
    <row r="31" spans="1:23" x14ac:dyDescent="0.25">
      <c r="A31" s="98"/>
      <c r="B31" s="56" t="s">
        <v>18</v>
      </c>
      <c r="C31" s="53" t="s">
        <v>20</v>
      </c>
      <c r="D31" s="87" t="s">
        <v>268</v>
      </c>
      <c r="E31" s="53"/>
      <c r="F31" s="53"/>
      <c r="G31" s="76">
        <f>(VLOOKUP(D31,Vis!E56:F59,2,FALSE)*G32^2)</f>
        <v>200</v>
      </c>
      <c r="P31" s="34"/>
      <c r="Q31" s="99"/>
      <c r="R31" s="63" t="s">
        <v>23</v>
      </c>
      <c r="S31" s="64" t="s">
        <v>37</v>
      </c>
      <c r="T31" s="89">
        <v>300</v>
      </c>
      <c r="U31" s="64" t="s">
        <v>0</v>
      </c>
      <c r="V31" s="64" t="s">
        <v>216</v>
      </c>
      <c r="W31" s="54">
        <f>MIN(MAX(0,T31),1000)</f>
        <v>300</v>
      </c>
    </row>
    <row r="32" spans="1:23" x14ac:dyDescent="0.25">
      <c r="A32" s="98"/>
      <c r="B32" s="56" t="str">
        <f>IF(D31=Vis!E60,"Main towline weight in water","Towline diameter")</f>
        <v>Main towline weight in water</v>
      </c>
      <c r="C32" s="53" t="str">
        <f>IF(D31=Vis!E60,"TM","TD")</f>
        <v>TM</v>
      </c>
      <c r="D32" s="87">
        <v>200</v>
      </c>
      <c r="E32" s="53" t="str">
        <f>IF(D31=Vis!E60,"N/m","mm")</f>
        <v>N/m</v>
      </c>
      <c r="F32" s="53" t="str">
        <f>IF(D31=Vis!E60,"[0.1:1000]",CONCATENATE("[20:",VLOOKUP(D31,Vis!E55:G59,3,FALSE),"]"))</f>
        <v>[0.1:1000]</v>
      </c>
      <c r="G32" s="54">
        <f>IF(D31=Vis!E60,MAX(MIN(1000,D32),0.1),MIN(MAX(20,D32),VLOOKUP(D31,Vis!E56:G59,3,FALSE)))</f>
        <v>200</v>
      </c>
      <c r="P32" s="34"/>
      <c r="Q32" s="75"/>
      <c r="R32" s="77" t="s">
        <v>259</v>
      </c>
      <c r="S32" s="75"/>
      <c r="T32" s="96">
        <v>9</v>
      </c>
      <c r="U32" s="75" t="s">
        <v>0</v>
      </c>
      <c r="V32" s="75" t="str">
        <f>CONCATENATE("[1:",W11,"]")</f>
        <v>[1:100]</v>
      </c>
      <c r="W32" s="54">
        <f>MAX(1,MIN(T32,T11))</f>
        <v>9</v>
      </c>
    </row>
    <row r="33" spans="1:23" x14ac:dyDescent="0.25">
      <c r="A33" s="50"/>
      <c r="B33" s="50"/>
      <c r="C33" s="51"/>
      <c r="D33" s="51"/>
      <c r="E33" s="51"/>
      <c r="F33" s="51"/>
      <c r="G33" s="51"/>
      <c r="P33" s="34"/>
      <c r="Q33" s="50"/>
      <c r="R33" s="50"/>
      <c r="S33" s="50"/>
      <c r="T33" s="50"/>
      <c r="U33" s="50"/>
      <c r="V33" s="50"/>
      <c r="W33" s="50"/>
    </row>
    <row r="34" spans="1:23" x14ac:dyDescent="0.25">
      <c r="A34" s="50"/>
      <c r="B34" s="50"/>
      <c r="C34" s="51"/>
      <c r="D34" s="51"/>
      <c r="E34" s="51"/>
      <c r="F34" s="51"/>
      <c r="G34" s="51"/>
      <c r="P34" s="34"/>
      <c r="Q34" s="50"/>
      <c r="R34" s="50"/>
      <c r="S34" s="50"/>
      <c r="T34" s="50"/>
      <c r="U34" s="50"/>
      <c r="V34" s="50"/>
      <c r="W34" s="50"/>
    </row>
    <row r="35" spans="1:23" x14ac:dyDescent="0.25">
      <c r="A35" s="50"/>
      <c r="B35" s="50"/>
      <c r="C35" s="50"/>
      <c r="D35" s="50"/>
      <c r="E35" s="51"/>
      <c r="F35" s="51"/>
      <c r="G35" s="51"/>
      <c r="P35" s="34"/>
      <c r="Q35" s="50"/>
      <c r="R35" s="50"/>
      <c r="S35" s="50"/>
      <c r="T35" s="50"/>
      <c r="U35" s="50"/>
      <c r="V35" s="50"/>
      <c r="W35" s="50"/>
    </row>
    <row r="36" spans="1:23" x14ac:dyDescent="0.25">
      <c r="C36" s="31"/>
      <c r="D36" s="31"/>
      <c r="P36" s="34"/>
    </row>
    <row r="37" spans="1:23" x14ac:dyDescent="0.25">
      <c r="C37" s="31"/>
      <c r="D37" s="31"/>
      <c r="P37" s="34"/>
    </row>
    <row r="38" spans="1:23" x14ac:dyDescent="0.25">
      <c r="C38" s="31"/>
      <c r="D38" s="31"/>
      <c r="M38" s="34"/>
      <c r="N38" s="34"/>
      <c r="O38" s="34"/>
      <c r="P38" s="34"/>
    </row>
    <row r="39" spans="1:23" x14ac:dyDescent="0.25">
      <c r="C39" s="31"/>
      <c r="D39" s="31"/>
      <c r="M39" s="34"/>
      <c r="N39" s="34"/>
      <c r="O39" s="34"/>
      <c r="P39" s="34"/>
    </row>
    <row r="40" spans="1:23" x14ac:dyDescent="0.25">
      <c r="C40" s="31"/>
      <c r="D40" s="31"/>
      <c r="M40" s="34"/>
      <c r="N40" s="34"/>
      <c r="O40" s="34"/>
      <c r="P40" s="34"/>
    </row>
    <row r="41" spans="1:23" x14ac:dyDescent="0.25">
      <c r="C41" s="31"/>
      <c r="D41" s="31"/>
      <c r="M41" s="34"/>
      <c r="N41" s="34"/>
      <c r="O41" s="34"/>
      <c r="P41" s="34"/>
    </row>
    <row r="42" spans="1:23" x14ac:dyDescent="0.25">
      <c r="C42" s="31"/>
      <c r="D42" s="31"/>
      <c r="M42" s="34"/>
      <c r="N42" s="34"/>
      <c r="O42" s="34"/>
      <c r="P42" s="34"/>
    </row>
    <row r="43" spans="1:23" x14ac:dyDescent="0.25">
      <c r="M43" s="34"/>
      <c r="N43" s="34"/>
      <c r="O43" s="34"/>
      <c r="P43" s="34"/>
    </row>
    <row r="44" spans="1:23" x14ac:dyDescent="0.25">
      <c r="M44" s="34"/>
      <c r="N44" s="34"/>
      <c r="O44" s="34"/>
      <c r="P44" s="34"/>
    </row>
    <row r="45" spans="1:23" x14ac:dyDescent="0.25">
      <c r="M45" s="34"/>
      <c r="N45" s="34"/>
      <c r="O45" s="34"/>
      <c r="P45" s="34"/>
    </row>
    <row r="46" spans="1:23" ht="15" customHeight="1" x14ac:dyDescent="0.25">
      <c r="M46" s="34"/>
      <c r="N46" s="34"/>
      <c r="O46" s="34"/>
      <c r="P46" s="34"/>
    </row>
    <row r="47" spans="1:23" x14ac:dyDescent="0.25">
      <c r="M47" s="34"/>
      <c r="N47" s="34"/>
      <c r="O47" s="34"/>
      <c r="P47" s="34"/>
    </row>
    <row r="48" spans="1:23" x14ac:dyDescent="0.25">
      <c r="M48" s="34"/>
      <c r="N48" s="34"/>
      <c r="O48" s="34"/>
      <c r="P48" s="34"/>
    </row>
    <row r="49" spans="12:65" x14ac:dyDescent="0.25">
      <c r="M49" s="34"/>
      <c r="N49" s="34"/>
      <c r="O49" s="34"/>
      <c r="P49" s="34"/>
    </row>
    <row r="50" spans="12:65" x14ac:dyDescent="0.25">
      <c r="M50" s="34"/>
      <c r="N50" s="34"/>
      <c r="O50" s="34"/>
      <c r="P50" s="34"/>
    </row>
    <row r="51" spans="12:65" x14ac:dyDescent="0.25">
      <c r="M51" s="34"/>
      <c r="N51" s="34"/>
      <c r="O51" s="34"/>
      <c r="P51" s="34"/>
    </row>
    <row r="52" spans="12:65" x14ac:dyDescent="0.25">
      <c r="M52" s="34"/>
      <c r="N52" s="34"/>
      <c r="O52" s="34"/>
      <c r="P52" s="34"/>
    </row>
    <row r="53" spans="12:65" x14ac:dyDescent="0.25">
      <c r="M53" s="34"/>
      <c r="N53" s="34"/>
      <c r="O53" s="34"/>
      <c r="P53" s="34"/>
    </row>
    <row r="54" spans="12:65" x14ac:dyDescent="0.25">
      <c r="M54" s="34"/>
      <c r="N54" s="34"/>
      <c r="O54" s="34"/>
      <c r="P54" s="34"/>
    </row>
    <row r="55" spans="12:65" x14ac:dyDescent="0.25">
      <c r="M55" s="34"/>
      <c r="N55" s="34"/>
      <c r="O55" s="34"/>
      <c r="P55" s="34"/>
      <c r="T55" s="39"/>
      <c r="BJ55" s="9"/>
    </row>
    <row r="56" spans="12:65" ht="15" customHeight="1" x14ac:dyDescent="0.25">
      <c r="M56" s="34"/>
      <c r="N56" s="34"/>
      <c r="O56" s="34"/>
      <c r="P56" s="34"/>
      <c r="BJ56" s="28"/>
      <c r="BK56" s="28"/>
      <c r="BL56" s="28"/>
      <c r="BM56" s="28"/>
    </row>
    <row r="57" spans="12:65" x14ac:dyDescent="0.25">
      <c r="M57" s="34"/>
      <c r="N57" s="34"/>
      <c r="O57" s="34"/>
      <c r="P57" s="34"/>
      <c r="BJ57" s="29"/>
      <c r="BK57" s="29"/>
      <c r="BM57" s="29"/>
    </row>
    <row r="58" spans="12:65" x14ac:dyDescent="0.25">
      <c r="M58" s="34"/>
      <c r="N58" s="34"/>
      <c r="O58" s="34"/>
      <c r="P58" s="34"/>
    </row>
    <row r="59" spans="12:65" x14ac:dyDescent="0.25">
      <c r="L59" s="34"/>
      <c r="M59" s="34"/>
      <c r="N59" s="34"/>
      <c r="O59" s="34"/>
      <c r="P59" s="34"/>
      <c r="BM59" s="30"/>
    </row>
    <row r="60" spans="12:65" ht="15" customHeight="1" x14ac:dyDescent="0.25">
      <c r="L60" s="34"/>
      <c r="M60" s="34"/>
      <c r="N60" s="34"/>
      <c r="O60" s="34"/>
      <c r="P60" s="34"/>
      <c r="BJ60" s="29"/>
    </row>
    <row r="61" spans="12:65" x14ac:dyDescent="0.25">
      <c r="L61" s="34"/>
      <c r="M61" s="34"/>
      <c r="N61" s="34"/>
      <c r="O61" s="34"/>
      <c r="P61" s="34"/>
    </row>
    <row r="62" spans="12:65" x14ac:dyDescent="0.25">
      <c r="L62" s="34"/>
      <c r="M62" s="34"/>
      <c r="N62" s="34"/>
      <c r="O62" s="34"/>
      <c r="P62" s="34"/>
    </row>
    <row r="63" spans="12:65" x14ac:dyDescent="0.25">
      <c r="L63" s="34"/>
      <c r="M63" s="34"/>
      <c r="N63" s="34"/>
      <c r="O63" s="34"/>
      <c r="P63" s="34"/>
    </row>
    <row r="64" spans="12:65" x14ac:dyDescent="0.25">
      <c r="L64" s="34"/>
      <c r="M64" s="34"/>
      <c r="N64" s="34"/>
      <c r="O64" s="34"/>
      <c r="P64" s="34"/>
    </row>
    <row r="65" spans="12:16" x14ac:dyDescent="0.25">
      <c r="L65" s="34"/>
      <c r="M65" s="34"/>
      <c r="N65" s="34"/>
      <c r="O65" s="34"/>
      <c r="P65" s="34"/>
    </row>
    <row r="66" spans="12:16" x14ac:dyDescent="0.25">
      <c r="L66" s="34"/>
      <c r="M66" s="34"/>
      <c r="N66" s="34"/>
      <c r="O66" s="34"/>
      <c r="P66" s="34"/>
    </row>
    <row r="67" spans="12:16" x14ac:dyDescent="0.25">
      <c r="L67" s="34"/>
      <c r="M67" s="34"/>
      <c r="N67" s="34"/>
      <c r="O67" s="34"/>
      <c r="P67" s="34"/>
    </row>
    <row r="68" spans="12:16" x14ac:dyDescent="0.25">
      <c r="L68" s="34"/>
      <c r="M68" s="34"/>
    </row>
    <row r="69" spans="12:16" x14ac:dyDescent="0.25">
      <c r="L69" s="34"/>
    </row>
    <row r="542" spans="10:10" x14ac:dyDescent="0.25">
      <c r="J542" s="46"/>
    </row>
    <row r="543" spans="10:10" x14ac:dyDescent="0.25">
      <c r="J543" s="46"/>
    </row>
    <row r="544" spans="10:10" x14ac:dyDescent="0.25">
      <c r="J544" s="46"/>
    </row>
    <row r="545" spans="10:10" x14ac:dyDescent="0.25">
      <c r="J545" s="46"/>
    </row>
    <row r="546" spans="10:10" x14ac:dyDescent="0.25">
      <c r="J546" s="46"/>
    </row>
    <row r="547" spans="10:10" x14ac:dyDescent="0.25">
      <c r="J547" s="46"/>
    </row>
    <row r="548" spans="10:10" x14ac:dyDescent="0.25">
      <c r="J548" s="46"/>
    </row>
    <row r="549" spans="10:10" x14ac:dyDescent="0.25">
      <c r="J549" s="46"/>
    </row>
    <row r="550" spans="10:10" x14ac:dyDescent="0.25">
      <c r="J550" s="46"/>
    </row>
    <row r="551" spans="10:10" x14ac:dyDescent="0.25">
      <c r="J551" s="46"/>
    </row>
    <row r="552" spans="10:10" x14ac:dyDescent="0.25">
      <c r="J552" s="46"/>
    </row>
    <row r="553" spans="10:10" x14ac:dyDescent="0.25">
      <c r="J553" s="46"/>
    </row>
    <row r="554" spans="10:10" x14ac:dyDescent="0.25">
      <c r="J554" s="46"/>
    </row>
    <row r="555" spans="10:10" x14ac:dyDescent="0.25">
      <c r="J555" s="46"/>
    </row>
    <row r="556" spans="10:10" x14ac:dyDescent="0.25">
      <c r="J556" s="46"/>
    </row>
    <row r="557" spans="10:10" x14ac:dyDescent="0.25">
      <c r="J557" s="46"/>
    </row>
    <row r="558" spans="10:10" x14ac:dyDescent="0.25">
      <c r="J558" s="46"/>
    </row>
    <row r="559" spans="10:10" x14ac:dyDescent="0.25">
      <c r="J559" s="46"/>
    </row>
    <row r="560" spans="10:10" x14ac:dyDescent="0.25">
      <c r="J560" s="46"/>
    </row>
    <row r="561" spans="10:10" x14ac:dyDescent="0.25">
      <c r="J561" s="46"/>
    </row>
    <row r="562" spans="10:10" x14ac:dyDescent="0.25">
      <c r="J562" s="46"/>
    </row>
    <row r="563" spans="10:10" x14ac:dyDescent="0.25">
      <c r="J563" s="46"/>
    </row>
    <row r="564" spans="10:10" x14ac:dyDescent="0.25">
      <c r="J564" s="46"/>
    </row>
    <row r="565" spans="10:10" x14ac:dyDescent="0.25">
      <c r="J565" s="46"/>
    </row>
    <row r="566" spans="10:10" x14ac:dyDescent="0.25">
      <c r="J566" s="46"/>
    </row>
    <row r="567" spans="10:10" x14ac:dyDescent="0.25">
      <c r="J567" s="46"/>
    </row>
    <row r="568" spans="10:10" x14ac:dyDescent="0.25">
      <c r="J568" s="46"/>
    </row>
    <row r="569" spans="10:10" x14ac:dyDescent="0.25">
      <c r="J569" s="46"/>
    </row>
    <row r="570" spans="10:10" x14ac:dyDescent="0.25">
      <c r="J570" s="46"/>
    </row>
    <row r="571" spans="10:10" x14ac:dyDescent="0.25">
      <c r="J571" s="46"/>
    </row>
    <row r="572" spans="10:10" x14ac:dyDescent="0.25">
      <c r="J572" s="46"/>
    </row>
    <row r="573" spans="10:10" x14ac:dyDescent="0.25">
      <c r="J573" s="46"/>
    </row>
    <row r="574" spans="10:10" x14ac:dyDescent="0.25">
      <c r="J574" s="46"/>
    </row>
    <row r="575" spans="10:10" x14ac:dyDescent="0.25">
      <c r="J575" s="46"/>
    </row>
    <row r="576" spans="10:10" x14ac:dyDescent="0.25">
      <c r="J576" s="46"/>
    </row>
    <row r="577" spans="10:10" x14ac:dyDescent="0.25">
      <c r="J577" s="46"/>
    </row>
    <row r="578" spans="10:10" x14ac:dyDescent="0.25">
      <c r="J578" s="46"/>
    </row>
    <row r="579" spans="10:10" x14ac:dyDescent="0.25">
      <c r="J579" s="46"/>
    </row>
    <row r="580" spans="10:10" x14ac:dyDescent="0.25">
      <c r="J580" s="46"/>
    </row>
    <row r="581" spans="10:10" x14ac:dyDescent="0.25">
      <c r="J581" s="46"/>
    </row>
    <row r="582" spans="10:10" x14ac:dyDescent="0.25">
      <c r="J582" s="46"/>
    </row>
    <row r="583" spans="10:10" x14ac:dyDescent="0.25">
      <c r="J583" s="46"/>
    </row>
    <row r="584" spans="10:10" x14ac:dyDescent="0.25">
      <c r="J584" s="46"/>
    </row>
    <row r="585" spans="10:10" x14ac:dyDescent="0.25">
      <c r="J585" s="46"/>
    </row>
    <row r="586" spans="10:10" x14ac:dyDescent="0.25">
      <c r="J586" s="46"/>
    </row>
    <row r="587" spans="10:10" x14ac:dyDescent="0.25">
      <c r="J587" s="46"/>
    </row>
    <row r="588" spans="10:10" x14ac:dyDescent="0.25">
      <c r="J588" s="46"/>
    </row>
    <row r="589" spans="10:10" x14ac:dyDescent="0.25">
      <c r="J589" s="46"/>
    </row>
    <row r="590" spans="10:10" x14ac:dyDescent="0.25">
      <c r="J590" s="46"/>
    </row>
    <row r="591" spans="10:10" x14ac:dyDescent="0.25">
      <c r="J591" s="46"/>
    </row>
    <row r="592" spans="10:10" x14ac:dyDescent="0.25">
      <c r="J592" s="46"/>
    </row>
    <row r="593" spans="10:10" x14ac:dyDescent="0.25">
      <c r="J593" s="46"/>
    </row>
    <row r="594" spans="10:10" x14ac:dyDescent="0.25">
      <c r="J594" s="46"/>
    </row>
    <row r="595" spans="10:10" x14ac:dyDescent="0.25">
      <c r="J595" s="46"/>
    </row>
    <row r="596" spans="10:10" x14ac:dyDescent="0.25">
      <c r="J596" s="46"/>
    </row>
    <row r="597" spans="10:10" x14ac:dyDescent="0.25">
      <c r="J597" s="46"/>
    </row>
    <row r="598" spans="10:10" x14ac:dyDescent="0.25">
      <c r="J598" s="46"/>
    </row>
    <row r="599" spans="10:10" x14ac:dyDescent="0.25">
      <c r="J599" s="46"/>
    </row>
    <row r="600" spans="10:10" x14ac:dyDescent="0.25">
      <c r="J600" s="46"/>
    </row>
    <row r="601" spans="10:10" x14ac:dyDescent="0.25">
      <c r="J601" s="46"/>
    </row>
    <row r="602" spans="10:10" x14ac:dyDescent="0.25">
      <c r="J602" s="46"/>
    </row>
    <row r="603" spans="10:10" x14ac:dyDescent="0.25">
      <c r="J603" s="46"/>
    </row>
    <row r="604" spans="10:10" x14ac:dyDescent="0.25">
      <c r="J604" s="46"/>
    </row>
    <row r="605" spans="10:10" x14ac:dyDescent="0.25">
      <c r="J605" s="46"/>
    </row>
    <row r="606" spans="10:10" x14ac:dyDescent="0.25">
      <c r="J606" s="46"/>
    </row>
    <row r="607" spans="10:10" x14ac:dyDescent="0.25">
      <c r="J607" s="46"/>
    </row>
    <row r="608" spans="10:10" x14ac:dyDescent="0.25">
      <c r="J608" s="46"/>
    </row>
    <row r="609" spans="10:10" x14ac:dyDescent="0.25">
      <c r="J609" s="46"/>
    </row>
    <row r="610" spans="10:10" x14ac:dyDescent="0.25">
      <c r="J610" s="46"/>
    </row>
    <row r="611" spans="10:10" x14ac:dyDescent="0.25">
      <c r="J611" s="46"/>
    </row>
    <row r="612" spans="10:10" x14ac:dyDescent="0.25">
      <c r="J612" s="46"/>
    </row>
    <row r="613" spans="10:10" x14ac:dyDescent="0.25">
      <c r="J613" s="46"/>
    </row>
    <row r="614" spans="10:10" x14ac:dyDescent="0.25">
      <c r="J614" s="46"/>
    </row>
    <row r="615" spans="10:10" x14ac:dyDescent="0.25">
      <c r="J615" s="46"/>
    </row>
    <row r="616" spans="10:10" x14ac:dyDescent="0.25">
      <c r="J616" s="46"/>
    </row>
    <row r="617" spans="10:10" x14ac:dyDescent="0.25">
      <c r="J617" s="46"/>
    </row>
    <row r="618" spans="10:10" x14ac:dyDescent="0.25">
      <c r="J618" s="46"/>
    </row>
    <row r="619" spans="10:10" x14ac:dyDescent="0.25">
      <c r="J619" s="46"/>
    </row>
    <row r="620" spans="10:10" x14ac:dyDescent="0.25">
      <c r="J620" s="46"/>
    </row>
    <row r="621" spans="10:10" x14ac:dyDescent="0.25">
      <c r="J621" s="46"/>
    </row>
    <row r="622" spans="10:10" x14ac:dyDescent="0.25">
      <c r="J622" s="46"/>
    </row>
    <row r="623" spans="10:10" x14ac:dyDescent="0.25">
      <c r="J623" s="46"/>
    </row>
    <row r="624" spans="10:10" x14ac:dyDescent="0.25">
      <c r="J624" s="46"/>
    </row>
    <row r="625" spans="10:10" x14ac:dyDescent="0.25">
      <c r="J625" s="46"/>
    </row>
    <row r="626" spans="10:10" x14ac:dyDescent="0.25">
      <c r="J626" s="46"/>
    </row>
    <row r="627" spans="10:10" x14ac:dyDescent="0.25">
      <c r="J627" s="46"/>
    </row>
    <row r="628" spans="10:10" x14ac:dyDescent="0.25">
      <c r="J628" s="46"/>
    </row>
    <row r="629" spans="10:10" x14ac:dyDescent="0.25">
      <c r="J629" s="46"/>
    </row>
    <row r="630" spans="10:10" x14ac:dyDescent="0.25">
      <c r="J630" s="46"/>
    </row>
    <row r="631" spans="10:10" x14ac:dyDescent="0.25">
      <c r="J631" s="46"/>
    </row>
    <row r="632" spans="10:10" x14ac:dyDescent="0.25">
      <c r="J632" s="46"/>
    </row>
    <row r="633" spans="10:10" x14ac:dyDescent="0.25">
      <c r="J633" s="46"/>
    </row>
    <row r="634" spans="10:10" x14ac:dyDescent="0.25">
      <c r="J634" s="46"/>
    </row>
    <row r="635" spans="10:10" x14ac:dyDescent="0.25">
      <c r="J635" s="46"/>
    </row>
    <row r="636" spans="10:10" x14ac:dyDescent="0.25">
      <c r="J636" s="46"/>
    </row>
    <row r="637" spans="10:10" x14ac:dyDescent="0.25">
      <c r="J637" s="46"/>
    </row>
    <row r="638" spans="10:10" x14ac:dyDescent="0.25">
      <c r="J638" s="46"/>
    </row>
    <row r="639" spans="10:10" x14ac:dyDescent="0.25">
      <c r="J639" s="46"/>
    </row>
    <row r="640" spans="10:10" x14ac:dyDescent="0.25">
      <c r="J640" s="46"/>
    </row>
    <row r="641" spans="10:10" x14ac:dyDescent="0.25">
      <c r="J641" s="46"/>
    </row>
    <row r="642" spans="10:10" x14ac:dyDescent="0.25">
      <c r="J642" s="46"/>
    </row>
    <row r="643" spans="10:10" x14ac:dyDescent="0.25">
      <c r="J643" s="46"/>
    </row>
    <row r="644" spans="10:10" x14ac:dyDescent="0.25">
      <c r="J644" s="46"/>
    </row>
    <row r="645" spans="10:10" x14ac:dyDescent="0.25">
      <c r="J645" s="46"/>
    </row>
    <row r="646" spans="10:10" x14ac:dyDescent="0.25">
      <c r="J646" s="46"/>
    </row>
    <row r="647" spans="10:10" x14ac:dyDescent="0.25">
      <c r="J647" s="46"/>
    </row>
    <row r="648" spans="10:10" x14ac:dyDescent="0.25">
      <c r="J648" s="46"/>
    </row>
    <row r="649" spans="10:10" x14ac:dyDescent="0.25">
      <c r="J649" s="46"/>
    </row>
    <row r="650" spans="10:10" x14ac:dyDescent="0.25">
      <c r="J650" s="46"/>
    </row>
    <row r="651" spans="10:10" x14ac:dyDescent="0.25">
      <c r="J651" s="46"/>
    </row>
    <row r="652" spans="10:10" x14ac:dyDescent="0.25">
      <c r="J652" s="46"/>
    </row>
    <row r="653" spans="10:10" x14ac:dyDescent="0.25">
      <c r="J653" s="46"/>
    </row>
    <row r="654" spans="10:10" x14ac:dyDescent="0.25">
      <c r="J654" s="46"/>
    </row>
    <row r="655" spans="10:10" x14ac:dyDescent="0.25">
      <c r="J655" s="46"/>
    </row>
    <row r="656" spans="10:10" x14ac:dyDescent="0.25">
      <c r="J656" s="46"/>
    </row>
    <row r="657" spans="10:10" x14ac:dyDescent="0.25">
      <c r="J657" s="46"/>
    </row>
    <row r="658" spans="10:10" x14ac:dyDescent="0.25">
      <c r="J658" s="46"/>
    </row>
    <row r="659" spans="10:10" x14ac:dyDescent="0.25">
      <c r="J659" s="46"/>
    </row>
    <row r="660" spans="10:10" x14ac:dyDescent="0.25">
      <c r="J660" s="46"/>
    </row>
    <row r="661" spans="10:10" x14ac:dyDescent="0.25">
      <c r="J661" s="46"/>
    </row>
    <row r="662" spans="10:10" x14ac:dyDescent="0.25">
      <c r="J662" s="46"/>
    </row>
    <row r="663" spans="10:10" x14ac:dyDescent="0.25">
      <c r="J663" s="46"/>
    </row>
    <row r="664" spans="10:10" x14ac:dyDescent="0.25">
      <c r="J664" s="46"/>
    </row>
    <row r="665" spans="10:10" x14ac:dyDescent="0.25">
      <c r="J665" s="46"/>
    </row>
    <row r="666" spans="10:10" x14ac:dyDescent="0.25">
      <c r="J666" s="46"/>
    </row>
    <row r="667" spans="10:10" x14ac:dyDescent="0.25">
      <c r="J667" s="46"/>
    </row>
    <row r="668" spans="10:10" x14ac:dyDescent="0.25">
      <c r="J668" s="46"/>
    </row>
    <row r="669" spans="10:10" x14ac:dyDescent="0.25">
      <c r="J669" s="46"/>
    </row>
    <row r="670" spans="10:10" x14ac:dyDescent="0.25">
      <c r="J670" s="46"/>
    </row>
    <row r="671" spans="10:10" x14ac:dyDescent="0.25">
      <c r="J671" s="46"/>
    </row>
    <row r="672" spans="10:10" x14ac:dyDescent="0.25">
      <c r="J672" s="46"/>
    </row>
    <row r="673" spans="10:10" x14ac:dyDescent="0.25">
      <c r="J673" s="46"/>
    </row>
    <row r="674" spans="10:10" x14ac:dyDescent="0.25">
      <c r="J674" s="46"/>
    </row>
    <row r="675" spans="10:10" x14ac:dyDescent="0.25">
      <c r="J675" s="46"/>
    </row>
    <row r="676" spans="10:10" x14ac:dyDescent="0.25">
      <c r="J676" s="46"/>
    </row>
    <row r="677" spans="10:10" x14ac:dyDescent="0.25">
      <c r="J677" s="46"/>
    </row>
    <row r="678" spans="10:10" x14ac:dyDescent="0.25">
      <c r="J678" s="46"/>
    </row>
    <row r="679" spans="10:10" x14ac:dyDescent="0.25">
      <c r="J679" s="46"/>
    </row>
    <row r="680" spans="10:10" x14ac:dyDescent="0.25">
      <c r="J680" s="46"/>
    </row>
    <row r="681" spans="10:10" x14ac:dyDescent="0.25">
      <c r="J681" s="46"/>
    </row>
    <row r="682" spans="10:10" x14ac:dyDescent="0.25">
      <c r="J682" s="46"/>
    </row>
    <row r="683" spans="10:10" x14ac:dyDescent="0.25">
      <c r="J683" s="46"/>
    </row>
    <row r="684" spans="10:10" x14ac:dyDescent="0.25">
      <c r="J684" s="46"/>
    </row>
    <row r="685" spans="10:10" x14ac:dyDescent="0.25">
      <c r="J685" s="46"/>
    </row>
    <row r="686" spans="10:10" x14ac:dyDescent="0.25">
      <c r="J686" s="46"/>
    </row>
    <row r="687" spans="10:10" x14ac:dyDescent="0.25">
      <c r="J687" s="46"/>
    </row>
    <row r="688" spans="10:10" x14ac:dyDescent="0.25">
      <c r="J688" s="46"/>
    </row>
    <row r="689" spans="10:10" x14ac:dyDescent="0.25">
      <c r="J689" s="46"/>
    </row>
    <row r="690" spans="10:10" x14ac:dyDescent="0.25">
      <c r="J690" s="46"/>
    </row>
    <row r="691" spans="10:10" x14ac:dyDescent="0.25">
      <c r="J691" s="46"/>
    </row>
    <row r="692" spans="10:10" x14ac:dyDescent="0.25">
      <c r="J692" s="46"/>
    </row>
    <row r="693" spans="10:10" x14ac:dyDescent="0.25">
      <c r="J693" s="46"/>
    </row>
    <row r="694" spans="10:10" x14ac:dyDescent="0.25">
      <c r="J694" s="46"/>
    </row>
    <row r="695" spans="10:10" x14ac:dyDescent="0.25">
      <c r="J695" s="46"/>
    </row>
    <row r="696" spans="10:10" x14ac:dyDescent="0.25">
      <c r="J696" s="46"/>
    </row>
    <row r="697" spans="10:10" x14ac:dyDescent="0.25">
      <c r="J697" s="46"/>
    </row>
    <row r="698" spans="10:10" x14ac:dyDescent="0.25">
      <c r="J698" s="46"/>
    </row>
    <row r="699" spans="10:10" x14ac:dyDescent="0.25">
      <c r="J699" s="46"/>
    </row>
    <row r="700" spans="10:10" x14ac:dyDescent="0.25">
      <c r="J700" s="46"/>
    </row>
    <row r="701" spans="10:10" x14ac:dyDescent="0.25">
      <c r="J701" s="46"/>
    </row>
    <row r="702" spans="10:10" x14ac:dyDescent="0.25">
      <c r="J702" s="46"/>
    </row>
    <row r="703" spans="10:10" x14ac:dyDescent="0.25">
      <c r="J703" s="46"/>
    </row>
    <row r="704" spans="10:10" x14ac:dyDescent="0.25">
      <c r="J704" s="46"/>
    </row>
    <row r="705" spans="10:10" x14ac:dyDescent="0.25">
      <c r="J705" s="46"/>
    </row>
    <row r="706" spans="10:10" x14ac:dyDescent="0.25">
      <c r="J706" s="46"/>
    </row>
    <row r="707" spans="10:10" x14ac:dyDescent="0.25">
      <c r="J707" s="46"/>
    </row>
    <row r="708" spans="10:10" x14ac:dyDescent="0.25">
      <c r="J708" s="46"/>
    </row>
    <row r="709" spans="10:10" x14ac:dyDescent="0.25">
      <c r="J709" s="46"/>
    </row>
    <row r="710" spans="10:10" x14ac:dyDescent="0.25">
      <c r="J710" s="46"/>
    </row>
    <row r="711" spans="10:10" x14ac:dyDescent="0.25">
      <c r="J711" s="46"/>
    </row>
    <row r="712" spans="10:10" x14ac:dyDescent="0.25">
      <c r="J712" s="46"/>
    </row>
    <row r="713" spans="10:10" x14ac:dyDescent="0.25">
      <c r="J713" s="46"/>
    </row>
    <row r="714" spans="10:10" x14ac:dyDescent="0.25">
      <c r="J714" s="46"/>
    </row>
    <row r="715" spans="10:10" x14ac:dyDescent="0.25">
      <c r="J715" s="46"/>
    </row>
    <row r="716" spans="10:10" x14ac:dyDescent="0.25">
      <c r="J716" s="46"/>
    </row>
    <row r="717" spans="10:10" x14ac:dyDescent="0.25">
      <c r="J717" s="46"/>
    </row>
    <row r="718" spans="10:10" x14ac:dyDescent="0.25">
      <c r="J718" s="46"/>
    </row>
    <row r="719" spans="10:10" x14ac:dyDescent="0.25">
      <c r="J719" s="46"/>
    </row>
    <row r="720" spans="10:10" x14ac:dyDescent="0.25">
      <c r="J720" s="46"/>
    </row>
    <row r="721" spans="10:10" x14ac:dyDescent="0.25">
      <c r="J721" s="46"/>
    </row>
  </sheetData>
  <sheetProtection algorithmName="SHA-512" hashValue="M9MLrA8GKIHC8e1CEXJMoY/N7EYThmTIHWx2itB0FA8ntDx6pUP6sf1cV7PU084Nt/x95XRmZDNYOhucNt9Ngw==" saltValue="4MoxBc7vSv05hj9TQzHOeg==" spinCount="100000" sheet="1" objects="1" scenarios="1"/>
  <mergeCells count="11">
    <mergeCell ref="Q20:Q23"/>
    <mergeCell ref="Q24:Q27"/>
    <mergeCell ref="Q28:Q31"/>
    <mergeCell ref="A30:A32"/>
    <mergeCell ref="A18:A21"/>
    <mergeCell ref="A22:A29"/>
    <mergeCell ref="A2:A13"/>
    <mergeCell ref="A14:A17"/>
    <mergeCell ref="Q2:Q5"/>
    <mergeCell ref="Q6:Q10"/>
    <mergeCell ref="Q11:Q19"/>
  </mergeCells>
  <conditionalFormatting sqref="G2 G6:G20 W6:W17 W19:W20">
    <cfRule type="expression" dxfId="30" priority="77">
      <formula>G2=D2</formula>
    </cfRule>
  </conditionalFormatting>
  <conditionalFormatting sqref="G3">
    <cfRule type="expression" dxfId="29" priority="76">
      <formula>G3=D3</formula>
    </cfRule>
  </conditionalFormatting>
  <conditionalFormatting sqref="G4">
    <cfRule type="expression" dxfId="28" priority="75">
      <formula>G4=D4</formula>
    </cfRule>
  </conditionalFormatting>
  <conditionalFormatting sqref="G5">
    <cfRule type="expression" dxfId="27" priority="74">
      <formula>G5=D5</formula>
    </cfRule>
  </conditionalFormatting>
  <conditionalFormatting sqref="G21">
    <cfRule type="expression" dxfId="26" priority="52">
      <formula>G21=D21</formula>
    </cfRule>
  </conditionalFormatting>
  <conditionalFormatting sqref="G22">
    <cfRule type="expression" dxfId="25" priority="51">
      <formula>G22=D22</formula>
    </cfRule>
  </conditionalFormatting>
  <conditionalFormatting sqref="G23">
    <cfRule type="expression" dxfId="24" priority="50">
      <formula>G23=D23</formula>
    </cfRule>
  </conditionalFormatting>
  <conditionalFormatting sqref="G24">
    <cfRule type="expression" dxfId="23" priority="49">
      <formula>G24=D24</formula>
    </cfRule>
  </conditionalFormatting>
  <conditionalFormatting sqref="G25">
    <cfRule type="expression" dxfId="22" priority="48">
      <formula>G25=D25</formula>
    </cfRule>
  </conditionalFormatting>
  <conditionalFormatting sqref="G26">
    <cfRule type="expression" dxfId="21" priority="47">
      <formula>G26=D26</formula>
    </cfRule>
  </conditionalFormatting>
  <conditionalFormatting sqref="G27">
    <cfRule type="expression" dxfId="20" priority="46">
      <formula>G27=D27</formula>
    </cfRule>
  </conditionalFormatting>
  <conditionalFormatting sqref="G28">
    <cfRule type="expression" dxfId="19" priority="45">
      <formula>G28=D28</formula>
    </cfRule>
  </conditionalFormatting>
  <conditionalFormatting sqref="G29">
    <cfRule type="expression" dxfId="18" priority="44">
      <formula>G29=D29</formula>
    </cfRule>
  </conditionalFormatting>
  <conditionalFormatting sqref="W2">
    <cfRule type="expression" dxfId="17" priority="43">
      <formula>W2=T2</formula>
    </cfRule>
  </conditionalFormatting>
  <conditionalFormatting sqref="W3">
    <cfRule type="expression" dxfId="16" priority="42">
      <formula>W3=T3</formula>
    </cfRule>
  </conditionalFormatting>
  <conditionalFormatting sqref="W4">
    <cfRule type="expression" dxfId="15" priority="38">
      <formula>W4=T4</formula>
    </cfRule>
  </conditionalFormatting>
  <conditionalFormatting sqref="W5">
    <cfRule type="expression" dxfId="14" priority="37">
      <formula>W5=T5</formula>
    </cfRule>
  </conditionalFormatting>
  <conditionalFormatting sqref="G30">
    <cfRule type="expression" dxfId="13" priority="36">
      <formula>G30=D30</formula>
    </cfRule>
  </conditionalFormatting>
  <conditionalFormatting sqref="G32">
    <cfRule type="expression" dxfId="12" priority="34">
      <formula>G32=D32</formula>
    </cfRule>
  </conditionalFormatting>
  <conditionalFormatting sqref="W21">
    <cfRule type="expression" dxfId="11" priority="22">
      <formula>W21=T21</formula>
    </cfRule>
  </conditionalFormatting>
  <conditionalFormatting sqref="W22">
    <cfRule type="expression" dxfId="10" priority="21">
      <formula>W22=T22</formula>
    </cfRule>
  </conditionalFormatting>
  <conditionalFormatting sqref="W23">
    <cfRule type="expression" dxfId="9" priority="20">
      <formula>W23=T23</formula>
    </cfRule>
  </conditionalFormatting>
  <conditionalFormatting sqref="W24">
    <cfRule type="expression" dxfId="8" priority="19">
      <formula>W24=T24</formula>
    </cfRule>
  </conditionalFormatting>
  <conditionalFormatting sqref="W25">
    <cfRule type="expression" dxfId="7" priority="18">
      <formula>W25=T25</formula>
    </cfRule>
  </conditionalFormatting>
  <conditionalFormatting sqref="W26">
    <cfRule type="expression" dxfId="6" priority="17">
      <formula>W26=T26</formula>
    </cfRule>
  </conditionalFormatting>
  <conditionalFormatting sqref="W27">
    <cfRule type="expression" dxfId="5" priority="16">
      <formula>W27=T27</formula>
    </cfRule>
  </conditionalFormatting>
  <conditionalFormatting sqref="W28">
    <cfRule type="expression" dxfId="4" priority="15">
      <formula>W28=T28</formula>
    </cfRule>
  </conditionalFormatting>
  <conditionalFormatting sqref="W29">
    <cfRule type="expression" dxfId="3" priority="14">
      <formula>W29=T29</formula>
    </cfRule>
  </conditionalFormatting>
  <conditionalFormatting sqref="W30">
    <cfRule type="expression" dxfId="2" priority="13">
      <formula>W30=T30</formula>
    </cfRule>
  </conditionalFormatting>
  <conditionalFormatting sqref="W31">
    <cfRule type="expression" dxfId="1" priority="12">
      <formula>W31=T31</formula>
    </cfRule>
  </conditionalFormatting>
  <conditionalFormatting sqref="W32">
    <cfRule type="expression" dxfId="0" priority="10">
      <formula>W32=T32</formula>
    </cfRule>
  </conditionalFormatting>
  <pageMargins left="0.7" right="0.35" top="1.75" bottom="0.75" header="0.3" footer="0.3"/>
  <pageSetup scale="113" fitToWidth="3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Vis!$E$56:$E$58</xm:f>
          </x14:formula1>
          <xm:sqref>D31</xm:sqref>
        </x14:dataValidation>
        <x14:dataValidation type="list" allowBlank="1" showInputMessage="1" showErrorMessage="1" xr:uid="{00000000-0002-0000-0000-000001000000}">
          <x14:formula1>
            <xm:f>Vis!$E$57:$E$60</xm:f>
          </x14:formula1>
          <xm:sqref>T18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5"/>
  <sheetViews>
    <sheetView zoomScaleNormal="100" workbookViewId="0"/>
  </sheetViews>
  <sheetFormatPr defaultRowHeight="15" x14ac:dyDescent="0.25"/>
  <sheetData>
    <row r="1" spans="1:10" x14ac:dyDescent="0.25">
      <c r="A1" s="6" t="s">
        <v>156</v>
      </c>
      <c r="B1" s="6" t="s">
        <v>147</v>
      </c>
      <c r="C1" s="6" t="s">
        <v>148</v>
      </c>
      <c r="D1" s="6" t="s">
        <v>149</v>
      </c>
      <c r="E1" s="6" t="s">
        <v>150</v>
      </c>
      <c r="F1" s="6" t="s">
        <v>151</v>
      </c>
      <c r="G1" s="6" t="s">
        <v>152</v>
      </c>
      <c r="H1" s="6" t="s">
        <v>153</v>
      </c>
      <c r="I1" s="6" t="s">
        <v>154</v>
      </c>
      <c r="J1" s="6" t="s">
        <v>155</v>
      </c>
    </row>
    <row r="2" spans="1:10" x14ac:dyDescent="0.25">
      <c r="A2" s="6">
        <f>(B3-B2)/2</f>
        <v>2.5000000000000022E-2</v>
      </c>
      <c r="B2" s="6">
        <v>0.5</v>
      </c>
      <c r="C2" s="6">
        <v>7.0000000000000007E-2</v>
      </c>
      <c r="D2" s="22">
        <f t="shared" ref="D2:D30" si="0">EXP(-((B2-1)^2)/(2*C2^2))</f>
        <v>8.3379470942011921E-12</v>
      </c>
      <c r="E2" s="22">
        <f xml:space="preserve"> 5/(16/Tool!$G$3*(1.15+0.168*Tool!$G$4-0.925/(1.909+Tool!$G$4))*2*PI())</f>
        <v>0.1989394388355781</v>
      </c>
      <c r="F2" s="22">
        <f xml:space="preserve"> (E2*Tool!$G$2^2*Tool!$G$4^D2)/((B2)^5)*EXP(-1.25/((B2)^4))</f>
        <v>2.9523221640132891E-8</v>
      </c>
      <c r="G2" s="22">
        <f xml:space="preserve"> 5/(16/Tool!$G$7*(1.15+0.168*Tool!$G$8-0.925/(1.909+Tool!$G$8))*2*PI())</f>
        <v>0.29840915825336722</v>
      </c>
      <c r="H2" s="22">
        <f xml:space="preserve"> (G2*Tool!$G$6^2*Tool!$G$8^D2)/((B2)^5)*EXP(-1.25/((B2)^4))</f>
        <v>1.96821477600886E-8</v>
      </c>
      <c r="I2" s="6">
        <f>MAX(0,MIN(1,(B2*(2*PI()/Tool!$G$3)-$J$35)/($J$34-$J$35)))</f>
        <v>1</v>
      </c>
      <c r="J2" s="6">
        <f>MAX(0,MIN(1,(B2*(2*PI()/Tool!$G$7)-$J$35)/($J$34-$J$35)))</f>
        <v>0.55874948945576641</v>
      </c>
    </row>
    <row r="3" spans="1:10" x14ac:dyDescent="0.25">
      <c r="A3" s="6">
        <f t="shared" ref="A3:A29" si="1">(B4-B2)/2</f>
        <v>4.9999999999999989E-2</v>
      </c>
      <c r="B3" s="6">
        <v>0.55000000000000004</v>
      </c>
      <c r="C3" s="6">
        <v>7.0000000000000007E-2</v>
      </c>
      <c r="D3" s="22">
        <f t="shared" si="0"/>
        <v>1.0618371101938013E-9</v>
      </c>
      <c r="E3" s="22">
        <f xml:space="preserve"> 5/(16/Tool!$G$3*(1.15+0.168*Tool!$G$4-0.925/(1.909+Tool!$G$4))*2*PI())</f>
        <v>0.1989394388355781</v>
      </c>
      <c r="F3" s="22">
        <f xml:space="preserve"> (E3*Tool!$G$2^2*Tool!$G$4^D3)/((B3)^5)*EXP(-1.25/((B3)^4))</f>
        <v>1.038748631387195E-5</v>
      </c>
      <c r="G3" s="22">
        <f xml:space="preserve"> 5/(16/Tool!$G$7*(1.15+0.168*Tool!$G$8-0.925/(1.909+Tool!$G$8))*2*PI())</f>
        <v>0.29840915825336722</v>
      </c>
      <c r="H3" s="22">
        <f xml:space="preserve"> (G3*Tool!$G$6^2*Tool!$G$8^D3)/((B3)^5)*EXP(-1.25/((B3)^4))</f>
        <v>6.9249908759146361E-6</v>
      </c>
      <c r="I3" s="6">
        <f>MAX(0,MIN(1,(B3*(2*PI()/Tool!$G$3)-$J$35)/($J$34-$J$35)))</f>
        <v>1</v>
      </c>
      <c r="J3" s="6">
        <f>MAX(0,MIN(1,(B3*(2*PI()/Tool!$G$7)-$J$35)/($J$34-$J$35)))</f>
        <v>1</v>
      </c>
    </row>
    <row r="4" spans="1:10" x14ac:dyDescent="0.25">
      <c r="A4" s="6">
        <f t="shared" si="1"/>
        <v>4.9999999999999989E-2</v>
      </c>
      <c r="B4" s="6">
        <v>0.6</v>
      </c>
      <c r="C4" s="6">
        <v>7.0000000000000007E-2</v>
      </c>
      <c r="D4" s="22">
        <f t="shared" si="0"/>
        <v>8.118538349144053E-8</v>
      </c>
      <c r="E4" s="22">
        <f xml:space="preserve"> 5/(16/Tool!$G$3*(1.15+0.168*Tool!$G$4-0.925/(1.909+Tool!$G$4))*2*PI())</f>
        <v>0.1989394388355781</v>
      </c>
      <c r="F4" s="22">
        <f xml:space="preserve"> (E4*Tool!$G$2^2*Tool!$G$4^D4)/((B4)^5)*EXP(-1.25/((B4)^4))</f>
        <v>3.7269199825276439E-4</v>
      </c>
      <c r="G4" s="22">
        <f xml:space="preserve"> 5/(16/Tool!$G$7*(1.15+0.168*Tool!$G$8-0.925/(1.909+Tool!$G$8))*2*PI())</f>
        <v>0.29840915825336722</v>
      </c>
      <c r="H4" s="22">
        <f xml:space="preserve"> (G4*Tool!$G$6^2*Tool!$G$8^D4)/((B4)^5)*EXP(-1.25/((B4)^4))</f>
        <v>2.4846133216850966E-4</v>
      </c>
      <c r="I4" s="6">
        <f>MAX(0,MIN(1,(B4*(2*PI()/Tool!$G$3)-$J$35)/($J$34-$J$35)))</f>
        <v>1</v>
      </c>
      <c r="J4" s="6">
        <f>MAX(0,MIN(1,(B4*(2*PI()/Tool!$G$7)-$J$35)/($J$34-$J$35)))</f>
        <v>1</v>
      </c>
    </row>
    <row r="5" spans="1:10" x14ac:dyDescent="0.25">
      <c r="A5" s="6">
        <f t="shared" si="1"/>
        <v>4.9999999999999989E-2</v>
      </c>
      <c r="B5" s="6">
        <v>0.65</v>
      </c>
      <c r="C5" s="6">
        <v>7.0000000000000007E-2</v>
      </c>
      <c r="D5" s="22">
        <f t="shared" si="0"/>
        <v>3.7266531720786841E-6</v>
      </c>
      <c r="E5" s="22">
        <f xml:space="preserve"> 5/(16/Tool!$G$3*(1.15+0.168*Tool!$G$4-0.925/(1.909+Tool!$G$4))*2*PI())</f>
        <v>0.1989394388355781</v>
      </c>
      <c r="F5" s="22">
        <f xml:space="preserve"> (E5*Tool!$G$2^2*Tool!$G$4^D5)/((B5)^5)*EXP(-1.25/((B5)^4))</f>
        <v>3.5088533904111614E-3</v>
      </c>
      <c r="G5" s="22">
        <f xml:space="preserve"> 5/(16/Tool!$G$7*(1.15+0.168*Tool!$G$8-0.925/(1.909+Tool!$G$8))*2*PI())</f>
        <v>0.29840915825336722</v>
      </c>
      <c r="H5" s="22">
        <f xml:space="preserve"> (G5*Tool!$G$6^2*Tool!$G$8^D5)/((B5)^5)*EXP(-1.25/((B5)^4))</f>
        <v>2.3392355936074417E-3</v>
      </c>
      <c r="I5" s="6">
        <f>MAX(0,MIN(1,(B5*(2*PI()/Tool!$G$3)-$J$35)/($J$34-$J$35)))</f>
        <v>1</v>
      </c>
      <c r="J5" s="6">
        <f>MAX(0,MIN(1,(B5*(2*PI()/Tool!$G$7)-$J$35)/($J$34-$J$35)))</f>
        <v>1</v>
      </c>
    </row>
    <row r="6" spans="1:10" x14ac:dyDescent="0.25">
      <c r="A6" s="6">
        <f t="shared" si="1"/>
        <v>4.9999999999999989E-2</v>
      </c>
      <c r="B6" s="6">
        <v>0.7</v>
      </c>
      <c r="C6" s="6">
        <v>7.0000000000000007E-2</v>
      </c>
      <c r="D6" s="22">
        <f t="shared" si="0"/>
        <v>1.0270256461965522E-4</v>
      </c>
      <c r="E6" s="22">
        <f xml:space="preserve"> 5/(16/Tool!$G$3*(1.15+0.168*Tool!$G$4-0.925/(1.909+Tool!$G$4))*2*PI())</f>
        <v>0.1989394388355781</v>
      </c>
      <c r="F6" s="22">
        <f xml:space="preserve"> (E6*Tool!$G$2^2*Tool!$G$4^D6)/((B6)^5)*EXP(-1.25/((B6)^4))</f>
        <v>1.4601748598534412E-2</v>
      </c>
      <c r="G6" s="22">
        <f xml:space="preserve"> 5/(16/Tool!$G$7*(1.15+0.168*Tool!$G$8-0.925/(1.909+Tool!$G$8))*2*PI())</f>
        <v>0.29840915825336722</v>
      </c>
      <c r="H6" s="22">
        <f xml:space="preserve"> (G6*Tool!$G$6^2*Tool!$G$8^D6)/((B6)^5)*EXP(-1.25/((B6)^4))</f>
        <v>9.7344990656896106E-3</v>
      </c>
      <c r="I6" s="6">
        <f>MAX(0,MIN(1,(B6*(2*PI()/Tool!$G$3)-$J$35)/($J$34-$J$35)))</f>
        <v>1</v>
      </c>
      <c r="J6" s="6">
        <f>MAX(0,MIN(1,(B6*(2*PI()/Tool!$G$7)-$J$35)/($J$34-$J$35)))</f>
        <v>1</v>
      </c>
    </row>
    <row r="7" spans="1:10" x14ac:dyDescent="0.25">
      <c r="A7" s="6">
        <f t="shared" si="1"/>
        <v>5.0000000000000044E-2</v>
      </c>
      <c r="B7" s="6">
        <v>0.75</v>
      </c>
      <c r="C7" s="6">
        <v>7.0000000000000007E-2</v>
      </c>
      <c r="D7" s="22">
        <f t="shared" si="0"/>
        <v>1.6992793655526586E-3</v>
      </c>
      <c r="E7" s="22">
        <f xml:space="preserve"> 5/(16/Tool!$G$3*(1.15+0.168*Tool!$G$4-0.925/(1.909+Tool!$G$4))*2*PI())</f>
        <v>0.1989394388355781</v>
      </c>
      <c r="F7" s="22">
        <f xml:space="preserve"> (E7*Tool!$G$2^2*Tool!$G$4^D7)/((B7)^5)*EXP(-1.25/((B7)^4))</f>
        <v>3.6296588112882958E-2</v>
      </c>
      <c r="G7" s="22">
        <f xml:space="preserve"> 5/(16/Tool!$G$7*(1.15+0.168*Tool!$G$8-0.925/(1.909+Tool!$G$8))*2*PI())</f>
        <v>0.29840915825336722</v>
      </c>
      <c r="H7" s="22">
        <f xml:space="preserve"> (G7*Tool!$G$6^2*Tool!$G$8^D7)/((B7)^5)*EXP(-1.25/((B7)^4))</f>
        <v>2.4197725408588645E-2</v>
      </c>
      <c r="I7" s="6">
        <f>MAX(0,MIN(1,(B7*(2*PI()/Tool!$G$3)-$J$35)/($J$34-$J$35)))</f>
        <v>1</v>
      </c>
      <c r="J7" s="6">
        <f>MAX(0,MIN(1,(B7*(2*PI()/Tool!$G$7)-$J$35)/($J$34-$J$35)))</f>
        <v>1</v>
      </c>
    </row>
    <row r="8" spans="1:10" x14ac:dyDescent="0.25">
      <c r="A8" s="6">
        <f t="shared" si="1"/>
        <v>4.9999999999999989E-2</v>
      </c>
      <c r="B8" s="6">
        <v>0.8</v>
      </c>
      <c r="C8" s="6">
        <v>7.0000000000000007E-2</v>
      </c>
      <c r="D8" s="22">
        <f t="shared" si="0"/>
        <v>1.6879884148789954E-2</v>
      </c>
      <c r="E8" s="22">
        <f xml:space="preserve"> 5/(16/Tool!$G$3*(1.15+0.168*Tool!$G$4-0.925/(1.909+Tool!$G$4))*2*PI())</f>
        <v>0.1989394388355781</v>
      </c>
      <c r="F8" s="22">
        <f xml:space="preserve"> (E8*Tool!$G$2^2*Tool!$G$4^D8)/((B8)^5)*EXP(-1.25/((B8)^4))</f>
        <v>6.457908593503553E-2</v>
      </c>
      <c r="G8" s="22">
        <f xml:space="preserve"> 5/(16/Tool!$G$7*(1.15+0.168*Tool!$G$8-0.925/(1.909+Tool!$G$8))*2*PI())</f>
        <v>0.29840915825336722</v>
      </c>
      <c r="H8" s="22">
        <f xml:space="preserve"> (G8*Tool!$G$6^2*Tool!$G$8^D8)/((B8)^5)*EXP(-1.25/((B8)^4))</f>
        <v>4.3052723956690367E-2</v>
      </c>
      <c r="I8" s="6">
        <f>MAX(0,MIN(1,(B8*(2*PI()/Tool!$G$3)-$J$35)/($J$34-$J$35)))</f>
        <v>1</v>
      </c>
      <c r="J8" s="6">
        <f>MAX(0,MIN(1,(B8*(2*PI()/Tool!$G$7)-$J$35)/($J$34-$J$35)))</f>
        <v>1</v>
      </c>
    </row>
    <row r="9" spans="1:10" x14ac:dyDescent="0.25">
      <c r="A9" s="6">
        <f t="shared" si="1"/>
        <v>4.9999999999999989E-2</v>
      </c>
      <c r="B9" s="6">
        <v>0.85</v>
      </c>
      <c r="C9" s="6">
        <v>7.0000000000000007E-2</v>
      </c>
      <c r="D9" s="22">
        <f t="shared" si="0"/>
        <v>0.10066889977289777</v>
      </c>
      <c r="E9" s="22">
        <f xml:space="preserve"> 5/(16/Tool!$G$3*(1.15+0.168*Tool!$G$4-0.925/(1.909+Tool!$G$4))*2*PI())</f>
        <v>0.1989394388355781</v>
      </c>
      <c r="F9" s="22">
        <f xml:space="preserve"> (E9*Tool!$G$2^2*Tool!$G$4^D9)/((B9)^5)*EXP(-1.25/((B9)^4))</f>
        <v>9.2011904957798846E-2</v>
      </c>
      <c r="G9" s="22">
        <f xml:space="preserve"> 5/(16/Tool!$G$7*(1.15+0.168*Tool!$G$8-0.925/(1.909+Tool!$G$8))*2*PI())</f>
        <v>0.29840915825336722</v>
      </c>
      <c r="H9" s="22">
        <f xml:space="preserve"> (G9*Tool!$G$6^2*Tool!$G$8^D9)/((B9)^5)*EXP(-1.25/((B9)^4))</f>
        <v>6.1341269971865911E-2</v>
      </c>
      <c r="I9" s="6">
        <f>MAX(0,MIN(1,(B9*(2*PI()/Tool!$G$3)-$J$35)/($J$34-$J$35)))</f>
        <v>1</v>
      </c>
      <c r="J9" s="6">
        <f>MAX(0,MIN(1,(B9*(2*PI()/Tool!$G$7)-$J$35)/($J$34-$J$35)))</f>
        <v>1</v>
      </c>
    </row>
    <row r="10" spans="1:10" x14ac:dyDescent="0.25">
      <c r="A10" s="6">
        <f t="shared" si="1"/>
        <v>4.9999999999999989E-2</v>
      </c>
      <c r="B10" s="6">
        <v>0.9</v>
      </c>
      <c r="C10" s="6">
        <v>7.0000000000000007E-2</v>
      </c>
      <c r="D10" s="22">
        <f t="shared" si="0"/>
        <v>0.36044778859782128</v>
      </c>
      <c r="E10" s="22">
        <f xml:space="preserve"> 5/(16/Tool!$G$3*(1.15+0.168*Tool!$G$4-0.925/(1.909+Tool!$G$4))*2*PI())</f>
        <v>0.1989394388355781</v>
      </c>
      <c r="F10" s="22">
        <f xml:space="preserve"> (E10*Tool!$G$2^2*Tool!$G$4^D10)/((B10)^5)*EXP(-1.25/((B10)^4))</f>
        <v>0.11279092311698793</v>
      </c>
      <c r="G10" s="22">
        <f xml:space="preserve"> 5/(16/Tool!$G$7*(1.15+0.168*Tool!$G$8-0.925/(1.909+Tool!$G$8))*2*PI())</f>
        <v>0.29840915825336722</v>
      </c>
      <c r="H10" s="22">
        <f xml:space="preserve"> (G10*Tool!$G$6^2*Tool!$G$8^D10)/((B10)^5)*EXP(-1.25/((B10)^4))</f>
        <v>7.5193948744658651E-2</v>
      </c>
      <c r="I10" s="6">
        <f>MAX(0,MIN(1,(B10*(2*PI()/Tool!$G$3)-$J$35)/($J$34-$J$35)))</f>
        <v>1</v>
      </c>
      <c r="J10" s="6">
        <f>MAX(0,MIN(1,(B10*(2*PI()/Tool!$G$7)-$J$35)/($J$34-$J$35)))</f>
        <v>1</v>
      </c>
    </row>
    <row r="11" spans="1:10" x14ac:dyDescent="0.25">
      <c r="A11" s="6">
        <f t="shared" si="1"/>
        <v>4.9999999999999989E-2</v>
      </c>
      <c r="B11" s="6">
        <v>0.95</v>
      </c>
      <c r="C11" s="6">
        <v>7.0000000000000007E-2</v>
      </c>
      <c r="D11" s="22">
        <f t="shared" si="0"/>
        <v>0.77483742888324902</v>
      </c>
      <c r="E11" s="22">
        <f xml:space="preserve"> 5/(16/Tool!$G$3*(1.15+0.168*Tool!$G$4-0.925/(1.909+Tool!$G$4))*2*PI())</f>
        <v>0.1989394388355781</v>
      </c>
      <c r="F11" s="22">
        <f xml:space="preserve"> (E11*Tool!$G$2^2*Tool!$G$4^D11)/((B11)^5)*EXP(-1.25/((B11)^4))</f>
        <v>0.12467683382395682</v>
      </c>
      <c r="G11" s="22">
        <f xml:space="preserve"> 5/(16/Tool!$G$7*(1.15+0.168*Tool!$G$8-0.925/(1.909+Tool!$G$8))*2*PI())</f>
        <v>0.29840915825336722</v>
      </c>
      <c r="H11" s="22">
        <f xml:space="preserve"> (G11*Tool!$G$6^2*Tool!$G$8^D11)/((B11)^5)*EXP(-1.25/((B11)^4))</f>
        <v>8.3117889215971241E-2</v>
      </c>
      <c r="I11" s="6">
        <f>MAX(0,MIN(1,(B11*(2*PI()/Tool!$G$3)-$J$35)/($J$34-$J$35)))</f>
        <v>1</v>
      </c>
      <c r="J11" s="6">
        <f>MAX(0,MIN(1,(B11*(2*PI()/Tool!$G$7)-$J$35)/($J$34-$J$35)))</f>
        <v>1</v>
      </c>
    </row>
    <row r="12" spans="1:10" x14ac:dyDescent="0.25">
      <c r="A12" s="6">
        <f t="shared" si="1"/>
        <v>5.0000000000000044E-2</v>
      </c>
      <c r="B12" s="6">
        <v>1</v>
      </c>
      <c r="C12" s="6">
        <v>0.09</v>
      </c>
      <c r="D12" s="22">
        <f t="shared" si="0"/>
        <v>1</v>
      </c>
      <c r="E12" s="22">
        <f xml:space="preserve"> 5/(16/Tool!$G$3*(1.15+0.168*Tool!$G$4-0.925/(1.909+Tool!$G$4))*2*PI())</f>
        <v>0.1989394388355781</v>
      </c>
      <c r="F12" s="22">
        <f xml:space="preserve"> (E12*Tool!$G$2^2*Tool!$G$4^D12)/((B12)^5)*EXP(-1.25/((B12)^4))</f>
        <v>0.12824348289990192</v>
      </c>
      <c r="G12" s="22">
        <f xml:space="preserve"> 5/(16/Tool!$G$7*(1.15+0.168*Tool!$G$8-0.925/(1.909+Tool!$G$8))*2*PI())</f>
        <v>0.29840915825336722</v>
      </c>
      <c r="H12" s="22">
        <f xml:space="preserve"> (G12*Tool!$G$6^2*Tool!$G$8^D12)/((B12)^5)*EXP(-1.25/((B12)^4))</f>
        <v>8.54956552666013E-2</v>
      </c>
      <c r="I12" s="6">
        <f>MAX(0,MIN(1,(B12*(2*PI()/Tool!$G$3)-$J$35)/($J$34-$J$35)))</f>
        <v>1</v>
      </c>
      <c r="J12" s="6">
        <f>MAX(0,MIN(1,(B12*(2*PI()/Tool!$G$7)-$J$35)/($J$34-$J$35)))</f>
        <v>1</v>
      </c>
    </row>
    <row r="13" spans="1:10" x14ac:dyDescent="0.25">
      <c r="A13" s="6">
        <f t="shared" si="1"/>
        <v>5.0000000000000044E-2</v>
      </c>
      <c r="B13" s="6">
        <v>1.05</v>
      </c>
      <c r="C13" s="6">
        <v>0.09</v>
      </c>
      <c r="D13" s="22">
        <f t="shared" si="0"/>
        <v>0.85699689143527868</v>
      </c>
      <c r="E13" s="22">
        <f xml:space="preserve"> 5/(16/Tool!$G$3*(1.15+0.168*Tool!$G$4-0.925/(1.909+Tool!$G$4))*2*PI())</f>
        <v>0.1989394388355781</v>
      </c>
      <c r="F13" s="22">
        <f xml:space="preserve"> (E13*Tool!$G$2^2*Tool!$G$4^D13)/((B13)^5)*EXP(-1.25/((B13)^4))</f>
        <v>0.12541167837218792</v>
      </c>
      <c r="G13" s="22">
        <f xml:space="preserve"> 5/(16/Tool!$G$7*(1.15+0.168*Tool!$G$8-0.925/(1.909+Tool!$G$8))*2*PI())</f>
        <v>0.29840915825336722</v>
      </c>
      <c r="H13" s="22">
        <f xml:space="preserve"> (G13*Tool!$G$6^2*Tool!$G$8^D13)/((B13)^5)*EXP(-1.25/((B13)^4))</f>
        <v>8.3607785581458635E-2</v>
      </c>
      <c r="I13" s="6">
        <f>MAX(0,MIN(1,(B13*(2*PI()/Tool!$G$3)-$J$35)/($J$34-$J$35)))</f>
        <v>1</v>
      </c>
      <c r="J13" s="6">
        <f>MAX(0,MIN(1,(B13*(2*PI()/Tool!$G$7)-$J$35)/($J$34-$J$35)))</f>
        <v>1</v>
      </c>
    </row>
    <row r="14" spans="1:10" x14ac:dyDescent="0.25">
      <c r="A14" s="6">
        <f t="shared" si="1"/>
        <v>4.9999999999999933E-2</v>
      </c>
      <c r="B14" s="6">
        <v>1.1000000000000001</v>
      </c>
      <c r="C14" s="6">
        <v>0.09</v>
      </c>
      <c r="D14" s="22">
        <f t="shared" si="0"/>
        <v>0.53940750723762609</v>
      </c>
      <c r="E14" s="22">
        <f xml:space="preserve"> 5/(16/Tool!$G$3*(1.15+0.168*Tool!$G$4-0.925/(1.909+Tool!$G$4))*2*PI())</f>
        <v>0.1989394388355781</v>
      </c>
      <c r="F14" s="22">
        <f xml:space="preserve"> (E14*Tool!$G$2^2*Tool!$G$4^D14)/((B14)^5)*EXP(-1.25/((B14)^4))</f>
        <v>0.11834604871172533</v>
      </c>
      <c r="G14" s="22">
        <f xml:space="preserve"> 5/(16/Tool!$G$7*(1.15+0.168*Tool!$G$8-0.925/(1.909+Tool!$G$8))*2*PI())</f>
        <v>0.29840915825336722</v>
      </c>
      <c r="H14" s="22">
        <f xml:space="preserve"> (G14*Tool!$G$6^2*Tool!$G$8^D14)/((B14)^5)*EXP(-1.25/((B14)^4))</f>
        <v>7.8897365807816908E-2</v>
      </c>
      <c r="I14" s="6">
        <f>MAX(0,MIN(1,(B14*(2*PI()/Tool!$G$3)-$J$35)/($J$34-$J$35)))</f>
        <v>1</v>
      </c>
      <c r="J14" s="6">
        <f>MAX(0,MIN(1,(B14*(2*PI()/Tool!$G$7)-$J$35)/($J$34-$J$35)))</f>
        <v>1</v>
      </c>
    </row>
    <row r="15" spans="1:10" x14ac:dyDescent="0.25">
      <c r="A15" s="6">
        <f t="shared" si="1"/>
        <v>4.9999999999999933E-2</v>
      </c>
      <c r="B15" s="6">
        <v>1.1499999999999999</v>
      </c>
      <c r="C15" s="6">
        <v>0.09</v>
      </c>
      <c r="D15" s="22">
        <f t="shared" si="0"/>
        <v>0.24935220877729655</v>
      </c>
      <c r="E15" s="22">
        <f xml:space="preserve"> 5/(16/Tool!$G$3*(1.15+0.168*Tool!$G$4-0.925/(1.909+Tool!$G$4))*2*PI())</f>
        <v>0.1989394388355781</v>
      </c>
      <c r="F15" s="22">
        <f xml:space="preserve"> (E15*Tool!$G$2^2*Tool!$G$4^D15)/((B15)^5)*EXP(-1.25/((B15)^4))</f>
        <v>0.10889993121425327</v>
      </c>
      <c r="G15" s="22">
        <f xml:space="preserve"> 5/(16/Tool!$G$7*(1.15+0.168*Tool!$G$8-0.925/(1.909+Tool!$G$8))*2*PI())</f>
        <v>0.29840915825336722</v>
      </c>
      <c r="H15" s="22">
        <f xml:space="preserve"> (G15*Tool!$G$6^2*Tool!$G$8^D15)/((B15)^5)*EXP(-1.25/((B15)^4))</f>
        <v>7.2599954142835543E-2</v>
      </c>
      <c r="I15" s="6">
        <f>MAX(0,MIN(1,(B15*(2*PI()/Tool!$G$3)-$J$35)/($J$34-$J$35)))</f>
        <v>1</v>
      </c>
      <c r="J15" s="6">
        <f>MAX(0,MIN(1,(B15*(2*PI()/Tool!$G$7)-$J$35)/($J$34-$J$35)))</f>
        <v>1</v>
      </c>
    </row>
    <row r="16" spans="1:10" x14ac:dyDescent="0.25">
      <c r="A16" s="6">
        <f t="shared" si="1"/>
        <v>5.0000000000000044E-2</v>
      </c>
      <c r="B16" s="6">
        <v>1.2</v>
      </c>
      <c r="C16" s="6">
        <v>0.09</v>
      </c>
      <c r="D16" s="22">
        <f t="shared" si="0"/>
        <v>8.4657988622530045E-2</v>
      </c>
      <c r="E16" s="22">
        <f xml:space="preserve"> 5/(16/Tool!$G$3*(1.15+0.168*Tool!$G$4-0.925/(1.909+Tool!$G$4))*2*PI())</f>
        <v>0.1989394388355781</v>
      </c>
      <c r="F16" s="22">
        <f xml:space="preserve"> (E16*Tool!$G$2^2*Tool!$G$4^D16)/((B16)^5)*EXP(-1.25/((B16)^4))</f>
        <v>9.8445837630343175E-2</v>
      </c>
      <c r="G16" s="22">
        <f xml:space="preserve"> 5/(16/Tool!$G$7*(1.15+0.168*Tool!$G$8-0.925/(1.909+Tool!$G$8))*2*PI())</f>
        <v>0.29840915825336722</v>
      </c>
      <c r="H16" s="22">
        <f xml:space="preserve"> (G16*Tool!$G$6^2*Tool!$G$8^D16)/((B16)^5)*EXP(-1.25/((B16)^4))</f>
        <v>6.5630558420228802E-2</v>
      </c>
      <c r="I16" s="6">
        <f>MAX(0,MIN(1,(B16*(2*PI()/Tool!$G$3)-$J$35)/($J$34-$J$35)))</f>
        <v>1</v>
      </c>
      <c r="J16" s="6">
        <f>MAX(0,MIN(1,(B16*(2*PI()/Tool!$G$7)-$J$35)/($J$34-$J$35)))</f>
        <v>1</v>
      </c>
    </row>
    <row r="17" spans="1:10" x14ac:dyDescent="0.25">
      <c r="A17" s="6">
        <f t="shared" si="1"/>
        <v>5.0000000000000044E-2</v>
      </c>
      <c r="B17" s="6">
        <v>1.25</v>
      </c>
      <c r="C17" s="6">
        <v>0.09</v>
      </c>
      <c r="D17" s="22">
        <f t="shared" si="0"/>
        <v>2.1109656453671053E-2</v>
      </c>
      <c r="E17" s="22">
        <f xml:space="preserve"> 5/(16/Tool!$G$3*(1.15+0.168*Tool!$G$4-0.925/(1.909+Tool!$G$4))*2*PI())</f>
        <v>0.1989394388355781</v>
      </c>
      <c r="F17" s="22">
        <f xml:space="preserve"> (E17*Tool!$G$2^2*Tool!$G$4^D17)/((B17)^5)*EXP(-1.25/((B17)^4))</f>
        <v>8.7901152016355621E-2</v>
      </c>
      <c r="G17" s="22">
        <f xml:space="preserve"> 5/(16/Tool!$G$7*(1.15+0.168*Tool!$G$8-0.925/(1.909+Tool!$G$8))*2*PI())</f>
        <v>0.29840915825336722</v>
      </c>
      <c r="H17" s="22">
        <f xml:space="preserve"> (G17*Tool!$G$6^2*Tool!$G$8^D17)/((B17)^5)*EXP(-1.25/((B17)^4))</f>
        <v>5.8600768010903768E-2</v>
      </c>
      <c r="I17" s="6">
        <f>MAX(0,MIN(1,(B17*(2*PI()/Tool!$G$3)-$J$35)/($J$34-$J$35)))</f>
        <v>1</v>
      </c>
      <c r="J17" s="6">
        <f>MAX(0,MIN(1,(B17*(2*PI()/Tool!$G$7)-$J$35)/($J$34-$J$35)))</f>
        <v>1</v>
      </c>
    </row>
    <row r="18" spans="1:10" x14ac:dyDescent="0.25">
      <c r="A18" s="6">
        <f t="shared" si="1"/>
        <v>5.0000000000000044E-2</v>
      </c>
      <c r="B18" s="6">
        <v>1.3</v>
      </c>
      <c r="C18" s="6">
        <v>0.09</v>
      </c>
      <c r="D18" s="22">
        <f t="shared" si="0"/>
        <v>3.8659201394728006E-3</v>
      </c>
      <c r="E18" s="22">
        <f xml:space="preserve"> 5/(16/Tool!$G$3*(1.15+0.168*Tool!$G$4-0.925/(1.909+Tool!$G$4))*2*PI())</f>
        <v>0.1989394388355781</v>
      </c>
      <c r="F18" s="22">
        <f xml:space="preserve"> (E18*Tool!$G$2^2*Tool!$G$4^D18)/((B18)^5)*EXP(-1.25/((B18)^4))</f>
        <v>7.7823979152205694E-2</v>
      </c>
      <c r="G18" s="22">
        <f xml:space="preserve"> 5/(16/Tool!$G$7*(1.15+0.168*Tool!$G$8-0.925/(1.909+Tool!$G$8))*2*PI())</f>
        <v>0.29840915825336722</v>
      </c>
      <c r="H18" s="22">
        <f xml:space="preserve"> (G18*Tool!$G$6^2*Tool!$G$8^D18)/((B18)^5)*EXP(-1.25/((B18)^4))</f>
        <v>5.1882652768137139E-2</v>
      </c>
      <c r="I18" s="6">
        <f>MAX(0,MIN(1,(B18*(2*PI()/Tool!$G$3)-$J$35)/($J$34-$J$35)))</f>
        <v>1</v>
      </c>
      <c r="J18" s="6">
        <f>MAX(0,MIN(1,(B18*(2*PI()/Tool!$G$7)-$J$35)/($J$34-$J$35)))</f>
        <v>1</v>
      </c>
    </row>
    <row r="19" spans="1:10" x14ac:dyDescent="0.25">
      <c r="A19" s="6">
        <f t="shared" si="1"/>
        <v>4.9999999999999933E-2</v>
      </c>
      <c r="B19" s="6">
        <v>1.35</v>
      </c>
      <c r="C19" s="6">
        <v>0.09</v>
      </c>
      <c r="D19" s="22">
        <f t="shared" si="0"/>
        <v>5.1997574325585215E-4</v>
      </c>
      <c r="E19" s="22">
        <f xml:space="preserve"> 5/(16/Tool!$G$3*(1.15+0.168*Tool!$G$4-0.925/(1.909+Tool!$G$4))*2*PI())</f>
        <v>0.1989394388355781</v>
      </c>
      <c r="F19" s="22">
        <f xml:space="preserve"> (E19*Tool!$G$2^2*Tool!$G$4^D19)/((B19)^5)*EXP(-1.25/((B19)^4))</f>
        <v>6.851635118960675E-2</v>
      </c>
      <c r="G19" s="22">
        <f xml:space="preserve"> 5/(16/Tool!$G$7*(1.15+0.168*Tool!$G$8-0.925/(1.909+Tool!$G$8))*2*PI())</f>
        <v>0.29840915825336722</v>
      </c>
      <c r="H19" s="22">
        <f xml:space="preserve"> (G19*Tool!$G$6^2*Tool!$G$8^D19)/((B19)^5)*EXP(-1.25/((B19)^4))</f>
        <v>4.567756745973784E-2</v>
      </c>
      <c r="I19" s="6">
        <f>MAX(0,MIN(1,(B19*(2*PI()/Tool!$G$3)-$J$35)/($J$34-$J$35)))</f>
        <v>1</v>
      </c>
      <c r="J19" s="6">
        <f>MAX(0,MIN(1,(B19*(2*PI()/Tool!$G$7)-$J$35)/($J$34-$J$35)))</f>
        <v>1</v>
      </c>
    </row>
    <row r="20" spans="1:10" x14ac:dyDescent="0.25">
      <c r="A20" s="6">
        <f t="shared" si="1"/>
        <v>4.9999999999999933E-2</v>
      </c>
      <c r="B20" s="6">
        <v>1.4</v>
      </c>
      <c r="C20" s="6">
        <v>0.09</v>
      </c>
      <c r="D20" s="22">
        <f t="shared" si="0"/>
        <v>5.1365531189759652E-5</v>
      </c>
      <c r="E20" s="22">
        <f xml:space="preserve"> 5/(16/Tool!$G$3*(1.15+0.168*Tool!$G$4-0.925/(1.909+Tool!$G$4))*2*PI())</f>
        <v>0.1989394388355781</v>
      </c>
      <c r="F20" s="22">
        <f xml:space="preserve"> (E20*Tool!$G$2^2*Tool!$G$4^D20)/((B20)^5)*EXP(-1.25/((B20)^4))</f>
        <v>6.0110481534964233E-2</v>
      </c>
      <c r="G20" s="22">
        <f xml:space="preserve"> 5/(16/Tool!$G$7*(1.15+0.168*Tool!$G$8-0.925/(1.909+Tool!$G$8))*2*PI())</f>
        <v>0.29840915825336722</v>
      </c>
      <c r="H20" s="22">
        <f xml:space="preserve"> (G20*Tool!$G$6^2*Tool!$G$8^D20)/((B20)^5)*EXP(-1.25/((B20)^4))</f>
        <v>4.0073654356642834E-2</v>
      </c>
      <c r="I20" s="6">
        <f>MAX(0,MIN(1,(B20*(2*PI()/Tool!$G$3)-$J$35)/($J$34-$J$35)))</f>
        <v>1</v>
      </c>
      <c r="J20" s="6">
        <f>MAX(0,MIN(1,(B20*(2*PI()/Tool!$G$7)-$J$35)/($J$34-$J$35)))</f>
        <v>1</v>
      </c>
    </row>
    <row r="21" spans="1:10" x14ac:dyDescent="0.25">
      <c r="A21" s="6">
        <f t="shared" si="1"/>
        <v>5.0000000000000044E-2</v>
      </c>
      <c r="B21" s="6">
        <v>1.45</v>
      </c>
      <c r="C21" s="6">
        <v>0.09</v>
      </c>
      <c r="D21" s="22">
        <f t="shared" si="0"/>
        <v>3.7266531720786777E-6</v>
      </c>
      <c r="E21" s="22">
        <f xml:space="preserve"> 5/(16/Tool!$G$3*(1.15+0.168*Tool!$G$4-0.925/(1.909+Tool!$G$4))*2*PI())</f>
        <v>0.1989394388355781</v>
      </c>
      <c r="F21" s="22">
        <f xml:space="preserve"> (E21*Tool!$G$2^2*Tool!$G$4^D21)/((B21)^5)*EXP(-1.25/((B21)^4))</f>
        <v>5.2632818070981149E-2</v>
      </c>
      <c r="G21" s="22">
        <f xml:space="preserve"> 5/(16/Tool!$G$7*(1.15+0.168*Tool!$G$8-0.925/(1.909+Tool!$G$8))*2*PI())</f>
        <v>0.29840915825336722</v>
      </c>
      <c r="H21" s="22">
        <f xml:space="preserve"> (G21*Tool!$G$6^2*Tool!$G$8^D21)/((B21)^5)*EXP(-1.25/((B21)^4))</f>
        <v>3.5088545380654104E-2</v>
      </c>
      <c r="I21" s="6">
        <f>MAX(0,MIN(1,(B21*(2*PI()/Tool!$G$3)-$J$35)/($J$34-$J$35)))</f>
        <v>1</v>
      </c>
      <c r="J21" s="6">
        <f>MAX(0,MIN(1,(B21*(2*PI()/Tool!$G$7)-$J$35)/($J$34-$J$35)))</f>
        <v>1</v>
      </c>
    </row>
    <row r="22" spans="1:10" x14ac:dyDescent="0.25">
      <c r="A22" s="6">
        <f t="shared" si="1"/>
        <v>7.5000000000000067E-2</v>
      </c>
      <c r="B22" s="6">
        <v>1.5</v>
      </c>
      <c r="C22" s="6">
        <v>0.09</v>
      </c>
      <c r="D22" s="22">
        <f t="shared" si="0"/>
        <v>1.9857504150120941E-7</v>
      </c>
      <c r="E22" s="22">
        <f xml:space="preserve"> 5/(16/Tool!$G$3*(1.15+0.168*Tool!$G$4-0.925/(1.909+Tool!$G$4))*2*PI())</f>
        <v>0.1989394388355781</v>
      </c>
      <c r="F22" s="22">
        <f xml:space="preserve"> (E22*Tool!$G$2^2*Tool!$G$4^D22)/((B22)^5)*EXP(-1.25/((B22)^4))</f>
        <v>4.6048332268450287E-2</v>
      </c>
      <c r="G22" s="22">
        <f xml:space="preserve"> 5/(16/Tool!$G$7*(1.15+0.168*Tool!$G$8-0.925/(1.909+Tool!$G$8))*2*PI())</f>
        <v>0.29840915825336722</v>
      </c>
      <c r="H22" s="22">
        <f xml:space="preserve"> (G22*Tool!$G$6^2*Tool!$G$8^D22)/((B22)^5)*EXP(-1.25/((B22)^4))</f>
        <v>3.0698888178966866E-2</v>
      </c>
      <c r="I22" s="6">
        <f>MAX(0,MIN(1,(B22*(2*PI()/Tool!$G$3)-$J$35)/($J$34-$J$35)))</f>
        <v>1</v>
      </c>
      <c r="J22" s="6">
        <f>MAX(0,MIN(1,(B22*(2*PI()/Tool!$G$7)-$J$35)/($J$34-$J$35)))</f>
        <v>1</v>
      </c>
    </row>
    <row r="23" spans="1:10" x14ac:dyDescent="0.25">
      <c r="A23" s="6">
        <f t="shared" si="1"/>
        <v>9.9999999999999978E-2</v>
      </c>
      <c r="B23" s="6">
        <v>1.6</v>
      </c>
      <c r="C23" s="6">
        <v>0.09</v>
      </c>
      <c r="D23" s="22">
        <f t="shared" si="0"/>
        <v>2.2336314362031502E-10</v>
      </c>
      <c r="E23" s="22">
        <f xml:space="preserve"> 5/(16/Tool!$G$3*(1.15+0.168*Tool!$G$4-0.925/(1.909+Tool!$G$4))*2*PI())</f>
        <v>0.1989394388355781</v>
      </c>
      <c r="F23" s="22">
        <f xml:space="preserve"> (E23*Tool!$G$2^2*Tool!$G$4^D23)/((B23)^5)*EXP(-1.25/((B23)^4))</f>
        <v>3.5275111466199258E-2</v>
      </c>
      <c r="G23" s="22">
        <f xml:space="preserve"> 5/(16/Tool!$G$7*(1.15+0.168*Tool!$G$8-0.925/(1.909+Tool!$G$8))*2*PI())</f>
        <v>0.29840915825336722</v>
      </c>
      <c r="H23" s="22">
        <f xml:space="preserve"> (G23*Tool!$G$6^2*Tool!$G$8^D23)/((B23)^5)*EXP(-1.25/((B23)^4))</f>
        <v>2.3516740977466179E-2</v>
      </c>
      <c r="I23" s="6">
        <f>MAX(0,MIN(1,(B23*(2*PI()/Tool!$G$3)-$J$35)/($J$34-$J$35)))</f>
        <v>1</v>
      </c>
      <c r="J23" s="6">
        <f>MAX(0,MIN(1,(B23*(2*PI()/Tool!$G$7)-$J$35)/($J$34-$J$35)))</f>
        <v>1</v>
      </c>
    </row>
    <row r="24" spans="1:10" x14ac:dyDescent="0.25">
      <c r="A24" s="6">
        <f t="shared" si="1"/>
        <v>9.9999999999999978E-2</v>
      </c>
      <c r="B24" s="6">
        <v>1.7</v>
      </c>
      <c r="C24" s="6">
        <v>0.09</v>
      </c>
      <c r="D24" s="22">
        <f t="shared" si="0"/>
        <v>7.3102518185450685E-14</v>
      </c>
      <c r="E24" s="22">
        <f xml:space="preserve"> 5/(16/Tool!$G$3*(1.15+0.168*Tool!$G$4-0.925/(1.909+Tool!$G$4))*2*PI())</f>
        <v>0.1989394388355781</v>
      </c>
      <c r="F24" s="22">
        <f xml:space="preserve"> (E24*Tool!$G$2^2*Tool!$G$4^D24)/((B24)^5)*EXP(-1.25/((B24)^4))</f>
        <v>2.7143197237716112E-2</v>
      </c>
      <c r="G24" s="22">
        <f xml:space="preserve"> 5/(16/Tool!$G$7*(1.15+0.168*Tool!$G$8-0.925/(1.909+Tool!$G$8))*2*PI())</f>
        <v>0.29840915825336722</v>
      </c>
      <c r="H24" s="22">
        <f xml:space="preserve"> (G24*Tool!$G$6^2*Tool!$G$8^D24)/((B24)^5)*EXP(-1.25/((B24)^4))</f>
        <v>1.809546482514408E-2</v>
      </c>
      <c r="I24" s="6">
        <f>MAX(0,MIN(1,(B24*(2*PI()/Tool!$G$3)-$J$35)/($J$34-$J$35)))</f>
        <v>1</v>
      </c>
      <c r="J24" s="6">
        <f>MAX(0,MIN(1,(B24*(2*PI()/Tool!$G$7)-$J$35)/($J$34-$J$35)))</f>
        <v>1</v>
      </c>
    </row>
    <row r="25" spans="1:10" x14ac:dyDescent="0.25">
      <c r="A25" s="6">
        <f t="shared" si="1"/>
        <v>9.9999999999999978E-2</v>
      </c>
      <c r="B25" s="6">
        <v>1.8</v>
      </c>
      <c r="C25" s="6">
        <v>0.09</v>
      </c>
      <c r="D25" s="22">
        <f t="shared" si="0"/>
        <v>6.9612484578389297E-18</v>
      </c>
      <c r="E25" s="22">
        <f xml:space="preserve"> 5/(16/Tool!$G$3*(1.15+0.168*Tool!$G$4-0.925/(1.909+Tool!$G$4))*2*PI())</f>
        <v>0.1989394388355781</v>
      </c>
      <c r="F25" s="22">
        <f xml:space="preserve"> (E25*Tool!$G$2^2*Tool!$G$4^D25)/((B25)^5)*EXP(-1.25/((B25)^4))</f>
        <v>2.1029422035955703E-2</v>
      </c>
      <c r="G25" s="22">
        <f xml:space="preserve"> 5/(16/Tool!$G$7*(1.15+0.168*Tool!$G$8-0.925/(1.909+Tool!$G$8))*2*PI())</f>
        <v>0.29840915825336722</v>
      </c>
      <c r="H25" s="22">
        <f xml:space="preserve"> (G25*Tool!$G$6^2*Tool!$G$8^D25)/((B25)^5)*EXP(-1.25/((B25)^4))</f>
        <v>1.4019614690637139E-2</v>
      </c>
      <c r="I25" s="6">
        <f>MAX(0,MIN(1,(B25*(2*PI()/Tool!$G$3)-$J$35)/($J$34-$J$35)))</f>
        <v>1</v>
      </c>
      <c r="J25" s="6">
        <f>MAX(0,MIN(1,(B25*(2*PI()/Tool!$G$7)-$J$35)/($J$34-$J$35)))</f>
        <v>1</v>
      </c>
    </row>
    <row r="26" spans="1:10" x14ac:dyDescent="0.25">
      <c r="A26" s="6">
        <f t="shared" si="1"/>
        <v>9.9999999999999978E-2</v>
      </c>
      <c r="B26" s="6">
        <v>1.9</v>
      </c>
      <c r="C26" s="6">
        <v>0.09</v>
      </c>
      <c r="D26" s="22">
        <f t="shared" si="0"/>
        <v>1.9287498479639315E-22</v>
      </c>
      <c r="E26" s="22">
        <f xml:space="preserve"> 5/(16/Tool!$G$3*(1.15+0.168*Tool!$G$4-0.925/(1.909+Tool!$G$4))*2*PI())</f>
        <v>0.1989394388355781</v>
      </c>
      <c r="F26" s="22">
        <f xml:space="preserve"> (E26*Tool!$G$2^2*Tool!$G$4^D26)/((B26)^5)*EXP(-1.25/((B26)^4))</f>
        <v>1.6424009060332305E-2</v>
      </c>
      <c r="G26" s="22">
        <f xml:space="preserve"> 5/(16/Tool!$G$7*(1.15+0.168*Tool!$G$8-0.925/(1.909+Tool!$G$8))*2*PI())</f>
        <v>0.29840915825336722</v>
      </c>
      <c r="H26" s="22">
        <f xml:space="preserve"> (G26*Tool!$G$6^2*Tool!$G$8^D26)/((B26)^5)*EXP(-1.25/((B26)^4))</f>
        <v>1.0949339373554872E-2</v>
      </c>
      <c r="I26" s="6">
        <f>MAX(0,MIN(1,(B26*(2*PI()/Tool!$G$3)-$J$35)/($J$34-$J$35)))</f>
        <v>1</v>
      </c>
      <c r="J26" s="6">
        <f>MAX(0,MIN(1,(B26*(2*PI()/Tool!$G$7)-$J$35)/($J$34-$J$35)))</f>
        <v>1</v>
      </c>
    </row>
    <row r="27" spans="1:10" x14ac:dyDescent="0.25">
      <c r="A27" s="6">
        <f t="shared" si="1"/>
        <v>0.10000000000000009</v>
      </c>
      <c r="B27" s="6">
        <v>2</v>
      </c>
      <c r="C27" s="6">
        <v>0.09</v>
      </c>
      <c r="D27" s="22">
        <f t="shared" si="0"/>
        <v>1.5548863390649953E-27</v>
      </c>
      <c r="E27" s="22">
        <f xml:space="preserve"> 5/(16/Tool!$G$3*(1.15+0.168*Tool!$G$4-0.925/(1.909+Tool!$G$4))*2*PI())</f>
        <v>0.1989394388355781</v>
      </c>
      <c r="F27" s="22">
        <f xml:space="preserve"> (E27*Tool!$G$2^2*Tool!$G$4^D27)/((B27)^5)*EXP(-1.25/((B27)^4))</f>
        <v>1.2936719806100309E-2</v>
      </c>
      <c r="G27" s="22">
        <f xml:space="preserve"> 5/(16/Tool!$G$7*(1.15+0.168*Tool!$G$8-0.925/(1.909+Tool!$G$8))*2*PI())</f>
        <v>0.29840915825336722</v>
      </c>
      <c r="H27" s="22">
        <f xml:space="preserve"> (G27*Tool!$G$6^2*Tool!$G$8^D27)/((B27)^5)*EXP(-1.25/((B27)^4))</f>
        <v>8.6244798707335417E-3</v>
      </c>
      <c r="I27" s="6">
        <f>MAX(0,MIN(1,(B27*(2*PI()/Tool!$G$3)-$J$35)/($J$34-$J$35)))</f>
        <v>1</v>
      </c>
      <c r="J27" s="6">
        <f>MAX(0,MIN(1,(B27*(2*PI()/Tool!$G$7)-$J$35)/($J$34-$J$35)))</f>
        <v>1</v>
      </c>
    </row>
    <row r="28" spans="1:10" x14ac:dyDescent="0.25">
      <c r="A28" s="6">
        <f t="shared" si="1"/>
        <v>0.5</v>
      </c>
      <c r="B28" s="6">
        <v>2.1</v>
      </c>
      <c r="C28" s="6">
        <v>0.09</v>
      </c>
      <c r="D28" s="22">
        <f t="shared" si="0"/>
        <v>3.6471646011599545E-33</v>
      </c>
      <c r="E28" s="22">
        <f xml:space="preserve"> 5/(16/Tool!$G$3*(1.15+0.168*Tool!$G$4-0.925/(1.909+Tool!$G$4))*2*PI())</f>
        <v>0.1989394388355781</v>
      </c>
      <c r="F28" s="22">
        <f xml:space="preserve"> (E28*Tool!$G$2^2*Tool!$G$4^D28)/((B28)^5)*EXP(-1.25/((B28)^4))</f>
        <v>1.0277636412975921E-2</v>
      </c>
      <c r="G28" s="22">
        <f xml:space="preserve"> 5/(16/Tool!$G$7*(1.15+0.168*Tool!$G$8-0.925/(1.909+Tool!$G$8))*2*PI())</f>
        <v>0.29840915825336722</v>
      </c>
      <c r="H28" s="22">
        <f xml:space="preserve"> (G28*Tool!$G$6^2*Tool!$G$8^D28)/((B28)^5)*EXP(-1.25/((B28)^4))</f>
        <v>6.851757608650616E-3</v>
      </c>
      <c r="I28" s="6">
        <f>MAX(0,MIN(1,(B28*(2*PI()/Tool!$G$3)-$J$35)/($J$34-$J$35)))</f>
        <v>1</v>
      </c>
      <c r="J28" s="6">
        <f>MAX(0,MIN(1,(B28*(2*PI()/Tool!$G$7)-$J$35)/($J$34-$J$35)))</f>
        <v>1</v>
      </c>
    </row>
    <row r="29" spans="1:10" x14ac:dyDescent="0.25">
      <c r="A29" s="6">
        <f t="shared" si="1"/>
        <v>1.45</v>
      </c>
      <c r="B29" s="6">
        <v>3</v>
      </c>
      <c r="C29" s="6">
        <v>0.09</v>
      </c>
      <c r="D29" s="22">
        <f t="shared" si="0"/>
        <v>5.8451356144535643E-108</v>
      </c>
      <c r="E29" s="22">
        <f xml:space="preserve"> 5/(16/Tool!$G$3*(1.15+0.168*Tool!$G$4-0.925/(1.909+Tool!$G$4))*2*PI())</f>
        <v>0.1989394388355781</v>
      </c>
      <c r="F29" s="22">
        <f xml:space="preserve"> (E29*Tool!$G$2^2*Tool!$G$4^D29)/((B29)^5)*EXP(-1.25/((B29)^4))</f>
        <v>1.81382363945861E-3</v>
      </c>
      <c r="G29" s="22">
        <f xml:space="preserve"> 5/(16/Tool!$G$7*(1.15+0.168*Tool!$G$8-0.925/(1.909+Tool!$G$8))*2*PI())</f>
        <v>0.29840915825336722</v>
      </c>
      <c r="H29" s="22">
        <f xml:space="preserve"> (G29*Tool!$G$6^2*Tool!$G$8^D29)/((B29)^5)*EXP(-1.25/((B29)^4))</f>
        <v>1.2092157596390737E-3</v>
      </c>
      <c r="I29" s="6">
        <f>MAX(0,MIN(1,(B29*(2*PI()/Tool!$G$3)-$J$35)/($J$34-$J$35)))</f>
        <v>1</v>
      </c>
      <c r="J29" s="6">
        <f>MAX(0,MIN(1,(B29*(2*PI()/Tool!$G$7)-$J$35)/($J$34-$J$35)))</f>
        <v>1</v>
      </c>
    </row>
    <row r="30" spans="1:10" x14ac:dyDescent="0.25">
      <c r="A30" s="6">
        <f>(B30-B29)/2</f>
        <v>1</v>
      </c>
      <c r="B30" s="6">
        <v>5</v>
      </c>
      <c r="C30" s="6">
        <v>0.09</v>
      </c>
      <c r="D30" s="22">
        <f t="shared" si="0"/>
        <v>0</v>
      </c>
      <c r="E30" s="22">
        <f xml:space="preserve"> 5/(16/Tool!$G$3*(1.15+0.168*Tool!$G$4-0.925/(1.909+Tool!$G$4))*2*PI())</f>
        <v>0.1989394388355781</v>
      </c>
      <c r="F30" s="22">
        <f xml:space="preserve"> (E30*Tool!$G$2^2*Tool!$G$4^D30)/((B30)^5)*EXP(-1.25/((B30)^4))</f>
        <v>1.4295020945159851E-4</v>
      </c>
      <c r="G30" s="22">
        <f xml:space="preserve"> 5/(16/Tool!$G$7*(1.15+0.168*Tool!$G$8-0.925/(1.909+Tool!$G$8))*2*PI())</f>
        <v>0.29840915825336722</v>
      </c>
      <c r="H30" s="22">
        <f xml:space="preserve"> (G30*Tool!$G$6^2*Tool!$G$8^D30)/((B30)^5)*EXP(-1.25/((B30)^4))</f>
        <v>9.530013963439904E-5</v>
      </c>
      <c r="I30" s="6">
        <f>MAX(0,MIN(1,(B30*(2*PI()/Tool!$G$3)-$J$35)/($J$34-$J$35)))</f>
        <v>1</v>
      </c>
      <c r="J30" s="6">
        <f>MAX(0,MIN(1,(B30*(2*PI()/Tool!$G$7)-$J$35)/($J$34-$J$35)))</f>
        <v>1</v>
      </c>
    </row>
    <row r="31" spans="1:10" x14ac:dyDescent="0.25">
      <c r="A31" s="6"/>
      <c r="B31" s="6"/>
      <c r="C31" s="6"/>
      <c r="D31" s="22"/>
      <c r="E31" s="22"/>
      <c r="F31" s="22"/>
      <c r="G31" s="22"/>
      <c r="H31" s="22"/>
      <c r="I31" s="6"/>
      <c r="J31" s="6"/>
    </row>
    <row r="32" spans="1:10" x14ac:dyDescent="0.25">
      <c r="A32" s="6"/>
      <c r="B32" s="6"/>
      <c r="C32" s="6"/>
      <c r="D32" s="6"/>
      <c r="E32" s="6"/>
      <c r="F32" s="18">
        <f>SQRT(SUMPRODUCT(A2:A30,F2:F30)*(2*PI()/Tool!$G$3))*4</f>
        <v>1.5156735583501564</v>
      </c>
      <c r="G32" s="18"/>
      <c r="H32" s="18">
        <f>SQRT(SUMPRODUCT(A2:A30,H2:H30)*(2*PI()/Tool!$G$7))*4</f>
        <v>1.0104490389001042</v>
      </c>
      <c r="I32" s="6">
        <f>MIN(Tool!D2^2/8,2*(SUMPRODUCT(I2:I30,A2:A30,F2:F30)*(2*PI()/Tool!$G$3)))</f>
        <v>0.28125</v>
      </c>
      <c r="J32" s="6">
        <f>MIN(Tool!D6^2/8,2*SUMPRODUCT(J2:J30,A2:A30,H2:H30)*(2*PI()/Tool!$G$7))</f>
        <v>0.125</v>
      </c>
    </row>
    <row r="33" spans="1:10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</row>
    <row r="34" spans="1:10" x14ac:dyDescent="0.25">
      <c r="A34" s="6"/>
      <c r="B34" s="6"/>
      <c r="C34" s="6"/>
      <c r="D34" s="6"/>
      <c r="E34" s="6"/>
      <c r="F34" s="6"/>
      <c r="G34" s="6" t="s">
        <v>157</v>
      </c>
      <c r="H34" s="6">
        <f>2*PI()/(7*SQRT(Tool!$W$7*Tool!$W$8))</f>
        <v>3.277564119740272E-2</v>
      </c>
      <c r="I34" s="6" t="s">
        <v>160</v>
      </c>
      <c r="J34" s="6">
        <f>SQRT(H34*9.81*TANH(H34*Tool!$W$11))</f>
        <v>0.56622910273782678</v>
      </c>
    </row>
    <row r="35" spans="1:10" x14ac:dyDescent="0.25">
      <c r="A35" s="6"/>
      <c r="B35" s="6"/>
      <c r="C35" s="6"/>
      <c r="D35" s="6"/>
      <c r="E35" s="6"/>
      <c r="F35" s="6"/>
      <c r="G35" s="6" t="s">
        <v>158</v>
      </c>
      <c r="H35" s="6">
        <f>2*PI()/(10*SQRT(Tool!$W$7*Tool!$W$8))</f>
        <v>2.2942948838181904E-2</v>
      </c>
      <c r="I35" s="6" t="s">
        <v>159</v>
      </c>
      <c r="J35" s="6">
        <f>SQRT(H35*9.81*TANH(H35*Tool!$W$11))</f>
        <v>0.46961657511276367</v>
      </c>
    </row>
  </sheetData>
  <sheetProtection algorithmName="SHA-512" hashValue="VsIYq7YuwNza/7AzZZSm/ftrMbFIZ1ma9/0VV7XkGIerTMTIIM0wpp/pH1dLpeqUIk+/rcceDQ/qJTGxHnbkuQ==" saltValue="TUw0ENNLwaKEuppIuh60Vw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9"/>
  <sheetViews>
    <sheetView zoomScale="75" zoomScaleNormal="100" workbookViewId="0"/>
  </sheetViews>
  <sheetFormatPr defaultRowHeight="15" x14ac:dyDescent="0.25"/>
  <sheetData>
    <row r="1" spans="1:25" x14ac:dyDescent="0.25">
      <c r="B1" s="104" t="s">
        <v>126</v>
      </c>
      <c r="C1" s="104"/>
      <c r="D1" s="104"/>
      <c r="E1" s="104"/>
      <c r="F1" s="104"/>
      <c r="G1" s="104"/>
      <c r="H1" s="106" t="s">
        <v>128</v>
      </c>
      <c r="I1" s="106"/>
      <c r="J1" s="106"/>
      <c r="K1" s="105" t="s">
        <v>127</v>
      </c>
      <c r="L1" s="105"/>
      <c r="M1" s="105"/>
      <c r="N1" s="7" t="s">
        <v>85</v>
      </c>
      <c r="O1" s="7" t="s">
        <v>87</v>
      </c>
      <c r="P1" s="6" t="s">
        <v>135</v>
      </c>
      <c r="Q1" s="6" t="s">
        <v>136</v>
      </c>
      <c r="R1" s="15" t="s">
        <v>137</v>
      </c>
      <c r="S1" s="15" t="s">
        <v>139</v>
      </c>
      <c r="T1" s="15" t="s">
        <v>140</v>
      </c>
      <c r="U1" s="15"/>
      <c r="V1" s="15"/>
      <c r="W1" s="15"/>
      <c r="X1" s="15"/>
      <c r="Y1" s="15"/>
    </row>
    <row r="2" spans="1:25" x14ac:dyDescent="0.25">
      <c r="A2" t="s">
        <v>119</v>
      </c>
      <c r="B2" s="5" t="s">
        <v>120</v>
      </c>
      <c r="C2" s="5" t="s">
        <v>121</v>
      </c>
      <c r="D2" s="5" t="s">
        <v>122</v>
      </c>
      <c r="E2" s="5" t="s">
        <v>123</v>
      </c>
      <c r="F2" s="5" t="s">
        <v>124</v>
      </c>
      <c r="G2" s="5" t="s">
        <v>125</v>
      </c>
      <c r="H2" s="3" t="s">
        <v>132</v>
      </c>
      <c r="I2" s="3" t="s">
        <v>133</v>
      </c>
      <c r="J2" s="3" t="s">
        <v>134</v>
      </c>
      <c r="K2" s="10" t="s">
        <v>129</v>
      </c>
      <c r="L2" s="10" t="s">
        <v>130</v>
      </c>
      <c r="M2" s="10" t="s">
        <v>131</v>
      </c>
      <c r="N2" s="6"/>
      <c r="O2" s="6"/>
      <c r="P2" s="6">
        <f>S!I32</f>
        <v>0.28125</v>
      </c>
      <c r="Q2" s="6">
        <f>S!J32</f>
        <v>0.125</v>
      </c>
      <c r="R2" s="15" t="s">
        <v>138</v>
      </c>
      <c r="S2" s="15" t="s">
        <v>141</v>
      </c>
      <c r="T2" s="15" t="s">
        <v>142</v>
      </c>
      <c r="U2" s="15"/>
      <c r="V2" s="15"/>
      <c r="W2" s="15"/>
      <c r="X2" s="15"/>
      <c r="Y2" s="15"/>
    </row>
    <row r="3" spans="1:25" x14ac:dyDescent="0.25">
      <c r="A3">
        <f>IFERROR(Tool!G22,0)-10*ROUND(IFERROR(Tool!G22,0)/10,0)</f>
        <v>0</v>
      </c>
      <c r="B3" s="8">
        <f>RADIANS(A3-Tool!$G$5+180)</f>
        <v>2.3561944901923448</v>
      </c>
      <c r="C3" s="8">
        <f>RADIANS(A3-Tool!$G$9+180)</f>
        <v>1.5707963267948966</v>
      </c>
      <c r="D3" s="8">
        <f>RADIANS(A3-Tool!$G$11+180)</f>
        <v>3.1415926535897931</v>
      </c>
      <c r="E3" s="8">
        <f>RADIANS(A3-Tool!$G$13)</f>
        <v>-2.9670597283903604</v>
      </c>
      <c r="F3" s="8">
        <f>RADIANS(A3-Tool!$G$15)</f>
        <v>-1.5707963267948966</v>
      </c>
      <c r="G3" s="8">
        <f>RADIANS(A3-Tool!$G$19)</f>
        <v>0</v>
      </c>
      <c r="H3" s="13">
        <f t="shared" ref="H3:H39" si="0">1.3*SIN(D3)</f>
        <v>1.592692991381206E-16</v>
      </c>
      <c r="I3" s="13">
        <f t="shared" ref="I3:I39" si="1">-0.25*SIN(D3)*COS(D3)</f>
        <v>3.06287113727155E-17</v>
      </c>
      <c r="J3" s="14">
        <f>0.5*0.00125*(Tool!$G$10*0.5144)^2*Tool!$W$9*(I3*Tool!$W$6-H3*Tool!$W$10)</f>
        <v>-1.3129423579588685E-12</v>
      </c>
      <c r="K3" s="11">
        <f>MAX(1,(-0.8/3*Tool!$W$11/Tool!$W$8+2.6))*(0.3*SIN(E3)*ABS(SIN(E3))+0.28*SIN(E3))</f>
        <v>-5.7667596628854213E-2</v>
      </c>
      <c r="L3" s="11">
        <f t="shared" ref="L3:L39" si="2">-0.13*COS(E3)*SIN(E3)-0.04*ABS(COS(E3))*SIN(E3)</f>
        <v>-1.5390906449655087E-2</v>
      </c>
      <c r="M3" s="12">
        <f>0.5*1.025*(Tool!$G$12*0.5144)^2*Tool!$W$6*Tool!$W$8*(L3*Tool!$W$6-K3*Tool!$W$10)</f>
        <v>1405.3095701163029</v>
      </c>
      <c r="N3" s="19">
        <f>9.81*(Tool!$G$14*COS(F3)*(-Tool!$G$17)+Tool!$G$14*SIN(F3)*(Tool!$G$16-Tool!$W$10))</f>
        <v>0</v>
      </c>
      <c r="O3" s="19">
        <f>9.81*(Tool!$G$18*COS(G3)*(-Tool!$G$21)+Tool!$G$18*SIN(G3)*(Tool!$G$20-Tool!$W$10))</f>
        <v>0</v>
      </c>
      <c r="P3" s="19">
        <f>-Tool!$W$10*5*Tool!$W$6*$P$2*SIN(B3)*SQRT(ABS(SIN(B3)))</f>
        <v>-30101.805098506382</v>
      </c>
      <c r="Q3" s="19">
        <f>-Tool!$W$10*5*Tool!$W$6*$Q$2*SIN(C3)*SQRT(ABS(SIN(C3)))</f>
        <v>-22500</v>
      </c>
      <c r="R3" s="17">
        <f>ROUND(SUM(M3:Q3)+J3,3)</f>
        <v>-51196.495999999999</v>
      </c>
      <c r="S3" s="17">
        <f>(R4-R3)/(A4-A3)</f>
        <v>1339.0303999999996</v>
      </c>
      <c r="T3" s="16" t="str">
        <f t="shared" ref="T3:T38" si="3">IF((R3&lt;=0)*(R4&gt;0),A3-R3/S3,"")</f>
        <v/>
      </c>
      <c r="U3" s="15"/>
      <c r="V3" s="24"/>
      <c r="W3" s="15"/>
      <c r="X3" s="15"/>
      <c r="Y3" s="15"/>
    </row>
    <row r="4" spans="1:25" x14ac:dyDescent="0.25">
      <c r="A4">
        <f t="shared" ref="A4:A39" si="4">A3+10</f>
        <v>10</v>
      </c>
      <c r="B4" s="8">
        <f>RADIANS(A4-Tool!$G$5+180)</f>
        <v>2.530727415391778</v>
      </c>
      <c r="C4" s="8">
        <f>RADIANS(A4-Tool!$G$9+180)</f>
        <v>1.7453292519943295</v>
      </c>
      <c r="D4" s="8">
        <f>RADIANS(A4-Tool!$G$11+180)</f>
        <v>3.3161255787892263</v>
      </c>
      <c r="E4" s="8">
        <f>RADIANS(A4-Tool!$G$13)</f>
        <v>-2.7925268031909272</v>
      </c>
      <c r="F4" s="8">
        <f>RADIANS(A4-Tool!$G$15)</f>
        <v>-1.3962634015954636</v>
      </c>
      <c r="G4" s="8">
        <f>RADIANS(A4-Tool!$G$19)</f>
        <v>0.17453292519943295</v>
      </c>
      <c r="H4" s="13">
        <f t="shared" si="0"/>
        <v>-0.22574263096700961</v>
      </c>
      <c r="I4" s="13">
        <f t="shared" si="1"/>
        <v>-4.2752517915708617E-2</v>
      </c>
      <c r="J4" s="14">
        <f>0.5*0.00125*(Tool!$G$10*0.5144)^2*Tool!$W$9*(I4*Tool!$W$6-H4*Tool!$W$10)</f>
        <v>1887.0950623238257</v>
      </c>
      <c r="K4" s="11">
        <f>MAX(1,(-0.8/3*Tool!$W$11/Tool!$W$8+2.6))*(0.3*SIN(E4)*ABS(SIN(E4))+0.28*SIN(E4))</f>
        <v>-0.13085897366334062</v>
      </c>
      <c r="L4" s="11">
        <f t="shared" si="2"/>
        <v>-2.8925442435894282E-2</v>
      </c>
      <c r="M4" s="12">
        <f>0.5*1.025*(Tool!$G$12*0.5144)^2*Tool!$W$6*Tool!$W$8*(L4*Tool!$W$6-K4*Tool!$W$10)</f>
        <v>4287.2823538366229</v>
      </c>
      <c r="N4" s="19">
        <f>9.81*(Tool!$G$14*COS(F4)*(-Tool!$G$17)+Tool!$G$14*SIN(F4)*(Tool!$G$16-Tool!$W$10))</f>
        <v>0</v>
      </c>
      <c r="O4" s="19">
        <f>9.81*(Tool!$G$18*COS(G4)*(-Tool!$G$21)+Tool!$G$18*SIN(G4)*(Tool!$G$20-Tool!$W$10))</f>
        <v>0</v>
      </c>
      <c r="P4" s="19">
        <f>-Tool!$W$10*5*Tool!$W$6*$P$2*SIN(B4)*SQRT(ABS(SIN(B4)))</f>
        <v>-21991.354947418444</v>
      </c>
      <c r="Q4" s="19">
        <f>-Tool!$W$10*5*Tool!$W$6*$Q$2*SIN(C4)*SQRT(ABS(SIN(C4)))</f>
        <v>-21989.214035255802</v>
      </c>
      <c r="R4" s="17">
        <f t="shared" ref="R4:R39" si="5">ROUND(SUM(M4:Q4)+J4,3)</f>
        <v>-37806.192000000003</v>
      </c>
      <c r="S4" s="17">
        <f t="shared" ref="S4:S38" si="6">(R5-R4)/(A5-A4)</f>
        <v>1588.1616000000001</v>
      </c>
      <c r="T4" s="16" t="str">
        <f t="shared" si="3"/>
        <v/>
      </c>
      <c r="U4" s="15"/>
      <c r="V4" s="24"/>
      <c r="W4" s="15"/>
      <c r="X4" s="15"/>
      <c r="Y4" s="15"/>
    </row>
    <row r="5" spans="1:25" x14ac:dyDescent="0.25">
      <c r="A5">
        <f t="shared" si="4"/>
        <v>20</v>
      </c>
      <c r="B5" s="8">
        <f>RADIANS(A5-Tool!$G$5+180)</f>
        <v>2.7052603405912108</v>
      </c>
      <c r="C5" s="8">
        <f>RADIANS(A5-Tool!$G$9+180)</f>
        <v>1.9198621771937625</v>
      </c>
      <c r="D5" s="8">
        <f>RADIANS(A5-Tool!$G$11+180)</f>
        <v>3.4906585039886591</v>
      </c>
      <c r="E5" s="8">
        <f>RADIANS(A5-Tool!$G$13)</f>
        <v>-2.6179938779914944</v>
      </c>
      <c r="F5" s="8">
        <f>RADIANS(A5-Tool!$G$15)</f>
        <v>-1.2217304763960306</v>
      </c>
      <c r="G5" s="8">
        <f>RADIANS(A5-Tool!$G$19)</f>
        <v>0.3490658503988659</v>
      </c>
      <c r="H5" s="13">
        <f t="shared" si="0"/>
        <v>-0.44462618632336925</v>
      </c>
      <c r="I5" s="13">
        <f t="shared" si="1"/>
        <v>-8.0348451210817406E-2</v>
      </c>
      <c r="J5" s="14">
        <f>0.5*0.00125*(Tool!$G$10*0.5144)^2*Tool!$W$9*(I5*Tool!$W$6-H5*Tool!$W$10)</f>
        <v>3869.9629477462108</v>
      </c>
      <c r="K5" s="11">
        <f>MAX(1,(-0.8/3*Tool!$W$11/Tool!$W$8+2.6))*(0.3*SIN(E5)*ABS(SIN(E5))+0.28*SIN(E5))</f>
        <v>-0.21499999999999997</v>
      </c>
      <c r="L5" s="11">
        <f t="shared" si="2"/>
        <v>-3.8971143170299746E-2</v>
      </c>
      <c r="M5" s="12">
        <f>0.5*1.025*(Tool!$G$12*0.5144)^2*Tool!$W$6*Tool!$W$8*(L5*Tool!$W$6-K5*Tool!$W$10)</f>
        <v>8609.8181787650738</v>
      </c>
      <c r="N5" s="19">
        <f>9.81*(Tool!$G$14*COS(F5)*(-Tool!$G$17)+Tool!$G$14*SIN(F5)*(Tool!$G$16-Tool!$W$10))</f>
        <v>0</v>
      </c>
      <c r="O5" s="19">
        <f>9.81*(Tool!$G$18*COS(G5)*(-Tool!$G$21)+Tool!$G$18*SIN(G5)*(Tool!$G$20-Tool!$W$10))</f>
        <v>0</v>
      </c>
      <c r="P5" s="19">
        <f>-Tool!$W$10*5*Tool!$W$6*$P$2*SIN(B5)*SQRT(ABS(SIN(B5)))</f>
        <v>-13908.728359068928</v>
      </c>
      <c r="Q5" s="19">
        <f>-Tool!$W$10*5*Tool!$W$6*$Q$2*SIN(C5)*SQRT(ABS(SIN(C5)))</f>
        <v>-20495.628605989365</v>
      </c>
      <c r="R5" s="17">
        <f t="shared" si="5"/>
        <v>-21924.576000000001</v>
      </c>
      <c r="S5" s="17">
        <f t="shared" si="6"/>
        <v>1729.2135000000003</v>
      </c>
      <c r="T5" s="16" t="str">
        <f t="shared" si="3"/>
        <v/>
      </c>
      <c r="U5" s="15"/>
      <c r="V5" s="24"/>
      <c r="W5" s="15"/>
      <c r="X5" s="15"/>
      <c r="Y5" s="15"/>
    </row>
    <row r="6" spans="1:25" x14ac:dyDescent="0.25">
      <c r="A6">
        <f t="shared" si="4"/>
        <v>30</v>
      </c>
      <c r="B6" s="8">
        <f>RADIANS(A6-Tool!$G$5+180)</f>
        <v>2.8797932657906435</v>
      </c>
      <c r="C6" s="8">
        <f>RADIANS(A6-Tool!$G$9+180)</f>
        <v>2.0943951023931953</v>
      </c>
      <c r="D6" s="8">
        <f>RADIANS(A6-Tool!$G$11+180)</f>
        <v>3.6651914291880923</v>
      </c>
      <c r="E6" s="8">
        <f>RADIANS(A6-Tool!$G$13)</f>
        <v>-2.4434609527920612</v>
      </c>
      <c r="F6" s="8">
        <f>RADIANS(A6-Tool!$G$15)</f>
        <v>-1.0471975511965976</v>
      </c>
      <c r="G6" s="8">
        <f>RADIANS(A6-Tool!$G$19)</f>
        <v>0.52359877559829882</v>
      </c>
      <c r="H6" s="13">
        <f t="shared" si="0"/>
        <v>-0.65000000000000013</v>
      </c>
      <c r="I6" s="13">
        <f t="shared" si="1"/>
        <v>-0.10825317547305485</v>
      </c>
      <c r="J6" s="14">
        <f>0.5*0.00125*(Tool!$G$10*0.5144)^2*Tool!$W$9*(I6*Tool!$W$6-H6*Tool!$W$10)</f>
        <v>6022.998993968733</v>
      </c>
      <c r="K6" s="11">
        <f>MAX(1,(-0.8/3*Tool!$W$11/Tool!$W$8+2.6))*(0.3*SIN(E6)*ABS(SIN(E6))+0.28*SIN(E6))</f>
        <v>-0.30393330406219154</v>
      </c>
      <c r="L6" s="11">
        <f t="shared" si="2"/>
        <v>-4.4316348885549375E-2</v>
      </c>
      <c r="M6" s="12">
        <f>0.5*1.025*(Tool!$G$12*0.5144)^2*Tool!$W$6*Tool!$W$8*(L6*Tool!$W$6-K6*Tool!$W$10)</f>
        <v>14143.837064466812</v>
      </c>
      <c r="N6" s="19">
        <f>9.81*(Tool!$G$14*COS(F6)*(-Tool!$G$17)+Tool!$G$14*SIN(F6)*(Tool!$G$16-Tool!$W$10))</f>
        <v>0</v>
      </c>
      <c r="O6" s="19">
        <f>9.81*(Tool!$G$18*COS(G6)*(-Tool!$G$21)+Tool!$G$18*SIN(G6)*(Tool!$G$20-Tool!$W$10))</f>
        <v>0</v>
      </c>
      <c r="P6" s="19">
        <f>-Tool!$W$10*5*Tool!$W$6*$P$2*SIN(B6)*SQRT(ABS(SIN(B6)))</f>
        <v>-6665.9090231036635</v>
      </c>
      <c r="Q6" s="19">
        <f>-Tool!$W$10*5*Tool!$W$6*$Q$2*SIN(C6)*SQRT(ABS(SIN(C6)))</f>
        <v>-18133.367599522273</v>
      </c>
      <c r="R6" s="17">
        <f t="shared" si="5"/>
        <v>-4632.4409999999998</v>
      </c>
      <c r="S6" s="17">
        <f t="shared" si="6"/>
        <v>1711.0966000000001</v>
      </c>
      <c r="T6" s="16">
        <f t="shared" si="3"/>
        <v>32.707293673542452</v>
      </c>
      <c r="U6" s="15"/>
      <c r="V6" s="17"/>
      <c r="W6" s="15"/>
      <c r="X6" s="15"/>
      <c r="Y6" s="15"/>
    </row>
    <row r="7" spans="1:25" x14ac:dyDescent="0.25">
      <c r="A7">
        <f t="shared" si="4"/>
        <v>40</v>
      </c>
      <c r="B7" s="8">
        <f>RADIANS(A7-Tool!$G$5+180)</f>
        <v>3.0543261909900767</v>
      </c>
      <c r="C7" s="8">
        <f>RADIANS(A7-Tool!$G$9+180)</f>
        <v>2.2689280275926285</v>
      </c>
      <c r="D7" s="8">
        <f>RADIANS(A7-Tool!$G$11+180)</f>
        <v>3.839724354387525</v>
      </c>
      <c r="E7" s="8">
        <f>RADIANS(A7-Tool!$G$13)</f>
        <v>-2.2689280275926285</v>
      </c>
      <c r="F7" s="8">
        <f>RADIANS(A7-Tool!$G$15)</f>
        <v>-0.87266462599716477</v>
      </c>
      <c r="G7" s="8">
        <f>RADIANS(A7-Tool!$G$19)</f>
        <v>0.69813170079773179</v>
      </c>
      <c r="H7" s="13">
        <f t="shared" si="0"/>
        <v>-0.83562389259250103</v>
      </c>
      <c r="I7" s="13">
        <f t="shared" si="1"/>
        <v>-0.12310096912652599</v>
      </c>
      <c r="J7" s="14">
        <f>0.5*0.00125*(Tool!$G$10*0.5144)^2*Tool!$W$9*(I7*Tool!$W$6-H7*Tool!$W$10)</f>
        <v>8380.7205622077836</v>
      </c>
      <c r="K7" s="11">
        <f>MAX(1,(-0.8/3*Tool!$W$11/Tool!$W$8+2.6))*(0.3*SIN(E7)*ABS(SIN(E7))+0.28*SIN(E7))</f>
        <v>-0.39053967072335338</v>
      </c>
      <c r="L7" s="11">
        <f t="shared" si="2"/>
        <v>-4.4316348885549361E-2</v>
      </c>
      <c r="M7" s="12">
        <f>0.5*1.025*(Tool!$G$12*0.5144)^2*Tool!$W$6*Tool!$W$8*(L7*Tool!$W$6-K7*Tool!$W$10)</f>
        <v>20486.028819424828</v>
      </c>
      <c r="N7" s="19">
        <f>9.81*(Tool!$G$14*COS(F7)*(-Tool!$G$17)+Tool!$G$14*SIN(F7)*(Tool!$G$16-Tool!$W$10))</f>
        <v>0</v>
      </c>
      <c r="O7" s="19">
        <f>9.81*(Tool!$G$18*COS(G7)*(-Tool!$G$21)+Tool!$G$18*SIN(G7)*(Tool!$G$20-Tool!$W$10))</f>
        <v>0</v>
      </c>
      <c r="P7" s="19">
        <f>-Tool!$W$10*5*Tool!$W$6*$P$2*SIN(B7)*SQRT(ABS(SIN(B7)))</f>
        <v>-1302.5939259753977</v>
      </c>
      <c r="Q7" s="19">
        <f>-Tool!$W$10*5*Tool!$W$6*$Q$2*SIN(C7)*SQRT(ABS(SIN(C7)))</f>
        <v>-15085.630563444705</v>
      </c>
      <c r="R7" s="17">
        <f t="shared" si="5"/>
        <v>12478.525</v>
      </c>
      <c r="S7" s="17">
        <f t="shared" si="6"/>
        <v>1525.2857000000001</v>
      </c>
      <c r="T7" s="16" t="str">
        <f t="shared" si="3"/>
        <v/>
      </c>
      <c r="U7" s="31">
        <f>SQRT((Tool!G30^2*(Tool!G31/1000)/8/Tool!W32+Tool!W32*Tool!G31/2000)^2-(Tool!G31/2000*Tool!G30)^2)/9.81</f>
        <v>101.84505606523955</v>
      </c>
      <c r="V7" s="24"/>
      <c r="W7" s="15"/>
      <c r="X7" s="15"/>
      <c r="Y7" s="15"/>
    </row>
    <row r="8" spans="1:25" x14ac:dyDescent="0.25">
      <c r="A8">
        <f t="shared" si="4"/>
        <v>50</v>
      </c>
      <c r="B8" s="8">
        <f>RADIANS(A8-Tool!$G$5+180)</f>
        <v>3.2288591161895095</v>
      </c>
      <c r="C8" s="8">
        <f>RADIANS(A8-Tool!$G$9+180)</f>
        <v>2.4434609527920612</v>
      </c>
      <c r="D8" s="8">
        <f>RADIANS(A8-Tool!$G$11+180)</f>
        <v>4.0142572795869578</v>
      </c>
      <c r="E8" s="8">
        <f>RADIANS(A8-Tool!$G$13)</f>
        <v>-2.0943951023931953</v>
      </c>
      <c r="F8" s="8">
        <f>RADIANS(A8-Tool!$G$15)</f>
        <v>-0.69813170079773179</v>
      </c>
      <c r="G8" s="8">
        <f>RADIANS(A8-Tool!$G$19)</f>
        <v>0.87266462599716477</v>
      </c>
      <c r="H8" s="13">
        <f t="shared" si="0"/>
        <v>-0.9958577760546713</v>
      </c>
      <c r="I8" s="13">
        <f t="shared" si="1"/>
        <v>-0.12310096912652602</v>
      </c>
      <c r="J8" s="14">
        <f>0.5*0.00125*(Tool!$G$10*0.5144)^2*Tool!$W$9*(I8*Tool!$W$6-H8*Tool!$W$10)</f>
        <v>10924.664455336135</v>
      </c>
      <c r="K8" s="11">
        <f>MAX(1,(-0.8/3*Tool!$W$11/Tool!$W$8+2.6))*(0.3*SIN(E8)*ABS(SIN(E8))+0.28*SIN(E8))</f>
        <v>-0.46748711305964286</v>
      </c>
      <c r="L8" s="11">
        <f t="shared" si="2"/>
        <v>-3.8971143170299725E-2</v>
      </c>
      <c r="M8" s="12">
        <f>0.5*1.025*(Tool!$G$12*0.5144)^2*Tool!$W$6*Tool!$W$8*(L8*Tool!$W$6-K8*Tool!$W$10)</f>
        <v>27099.471404203108</v>
      </c>
      <c r="N8" s="19">
        <f>9.81*(Tool!$G$14*COS(F8)*(-Tool!$G$17)+Tool!$G$14*SIN(F8)*(Tool!$G$16-Tool!$W$10))</f>
        <v>0</v>
      </c>
      <c r="O8" s="19">
        <f>9.81*(Tool!$G$18*COS(G8)*(-Tool!$G$21)+Tool!$G$18*SIN(G8)*(Tool!$G$20-Tool!$W$10))</f>
        <v>0</v>
      </c>
      <c r="P8" s="19">
        <f>-Tool!$W$10*5*Tool!$W$6*$P$2*SIN(B8)*SQRT(ABS(SIN(B8)))</f>
        <v>1302.593925975392</v>
      </c>
      <c r="Q8" s="19">
        <f>-Tool!$W$10*5*Tool!$W$6*$Q$2*SIN(C8)*SQRT(ABS(SIN(C8)))</f>
        <v>-11595.347359453704</v>
      </c>
      <c r="R8" s="17">
        <f t="shared" si="5"/>
        <v>27731.382000000001</v>
      </c>
      <c r="S8" s="17">
        <f t="shared" si="6"/>
        <v>1792.8573000000001</v>
      </c>
      <c r="T8" s="16" t="str">
        <f t="shared" si="3"/>
        <v/>
      </c>
      <c r="U8" s="15"/>
      <c r="V8" s="24"/>
      <c r="W8" s="15"/>
      <c r="X8" s="15"/>
      <c r="Y8" s="15"/>
    </row>
    <row r="9" spans="1:25" x14ac:dyDescent="0.25">
      <c r="A9">
        <f t="shared" si="4"/>
        <v>60</v>
      </c>
      <c r="B9" s="8">
        <f>RADIANS(A9-Tool!$G$5+180)</f>
        <v>3.4033920413889427</v>
      </c>
      <c r="C9" s="8">
        <f>RADIANS(A9-Tool!$G$9+180)</f>
        <v>2.6179938779914944</v>
      </c>
      <c r="D9" s="8">
        <f>RADIANS(A9-Tool!$G$11+180)</f>
        <v>4.1887902047863905</v>
      </c>
      <c r="E9" s="8">
        <f>RADIANS(A9-Tool!$G$13)</f>
        <v>-1.9198621771937625</v>
      </c>
      <c r="F9" s="8">
        <f>RADIANS(A9-Tool!$G$15)</f>
        <v>-0.52359877559829882</v>
      </c>
      <c r="G9" s="8">
        <f>RADIANS(A9-Tool!$G$19)</f>
        <v>1.0471975511965976</v>
      </c>
      <c r="H9" s="13">
        <f t="shared" si="0"/>
        <v>-1.1258330249197699</v>
      </c>
      <c r="I9" s="13">
        <f t="shared" si="1"/>
        <v>-0.10825317547305489</v>
      </c>
      <c r="J9" s="14">
        <f>0.5*0.00125*(Tool!$G$10*0.5144)^2*Tool!$W$9*(I9*Tool!$W$6-H9*Tool!$W$10)</f>
        <v>13577.534225458799</v>
      </c>
      <c r="K9" s="11">
        <f>MAX(1,(-0.8/3*Tool!$W$11/Tool!$W$8+2.6))*(0.3*SIN(E9)*ABS(SIN(E9))+0.28*SIN(E9))</f>
        <v>-0.5280206002879011</v>
      </c>
      <c r="L9" s="11">
        <f t="shared" si="2"/>
        <v>-2.8925442435894275E-2</v>
      </c>
      <c r="M9" s="12">
        <f>0.5*1.025*(Tool!$G$12*0.5144)^2*Tool!$W$6*Tool!$W$8*(L9*Tool!$W$6-K9*Tool!$W$10)</f>
        <v>33371.462776955304</v>
      </c>
      <c r="N9" s="19">
        <f>9.81*(Tool!$G$14*COS(F9)*(-Tool!$G$17)+Tool!$G$14*SIN(F9)*(Tool!$G$16-Tool!$W$10))</f>
        <v>0</v>
      </c>
      <c r="O9" s="19">
        <f>9.81*(Tool!$G$18*COS(G9)*(-Tool!$G$21)+Tool!$G$18*SIN(G9)*(Tool!$G$20-Tool!$W$10))</f>
        <v>0</v>
      </c>
      <c r="P9" s="19">
        <f>-Tool!$W$10*5*Tool!$W$6*$P$2*SIN(B9)*SQRT(ABS(SIN(B9)))</f>
        <v>6665.9090231036553</v>
      </c>
      <c r="Q9" s="19">
        <f>-Tool!$W$10*5*Tool!$W$6*$Q$2*SIN(C9)*SQRT(ABS(SIN(C9)))</f>
        <v>-7954.9512883486577</v>
      </c>
      <c r="R9" s="17">
        <f t="shared" si="5"/>
        <v>45659.955000000002</v>
      </c>
      <c r="S9" s="17">
        <f t="shared" si="6"/>
        <v>1863.5631000000001</v>
      </c>
      <c r="T9" s="16" t="str">
        <f t="shared" si="3"/>
        <v/>
      </c>
      <c r="U9" s="15"/>
      <c r="V9" s="24"/>
      <c r="W9" s="15"/>
      <c r="X9" s="15"/>
      <c r="Y9" s="15"/>
    </row>
    <row r="10" spans="1:25" x14ac:dyDescent="0.25">
      <c r="A10">
        <f t="shared" si="4"/>
        <v>70</v>
      </c>
      <c r="B10" s="8">
        <f>RADIANS(A10-Tool!$G$5+180)</f>
        <v>3.5779249665883754</v>
      </c>
      <c r="C10" s="8">
        <f>RADIANS(A10-Tool!$G$9+180)</f>
        <v>2.7925268031909272</v>
      </c>
      <c r="D10" s="8">
        <f>RADIANS(A10-Tool!$G$11+180)</f>
        <v>4.3633231299858242</v>
      </c>
      <c r="E10" s="8">
        <f>RADIANS(A10-Tool!$G$13)</f>
        <v>-1.7453292519943295</v>
      </c>
      <c r="F10" s="8">
        <f>RADIANS(A10-Tool!$G$15)</f>
        <v>-0.3490658503988659</v>
      </c>
      <c r="G10" s="8">
        <f>RADIANS(A10-Tool!$G$19)</f>
        <v>1.2217304763960306</v>
      </c>
      <c r="H10" s="13">
        <f t="shared" si="0"/>
        <v>-1.221600407021681</v>
      </c>
      <c r="I10" s="13">
        <f t="shared" si="1"/>
        <v>-8.0348451210817379E-2</v>
      </c>
      <c r="J10" s="14">
        <f>0.5*0.00125*(Tool!$G$10*0.5144)^2*Tool!$W$9*(I10*Tool!$W$6-H10*Tool!$W$10)</f>
        <v>16205.548787368471</v>
      </c>
      <c r="K10" s="11">
        <f>MAX(1,(-0.8/3*Tool!$W$11/Tool!$W$8+2.6))*(0.3*SIN(E10)*ABS(SIN(E10))+0.28*SIN(E10))</f>
        <v>-0.56670006396130446</v>
      </c>
      <c r="L10" s="11">
        <f t="shared" si="2"/>
        <v>-1.5390906449655087E-2</v>
      </c>
      <c r="M10" s="12">
        <f>0.5*1.025*(Tool!$G$12*0.5144)^2*Tool!$W$6*Tool!$W$8*(L10*Tool!$W$6-K10*Tool!$W$10)</f>
        <v>38681.801377612384</v>
      </c>
      <c r="N10" s="19">
        <f>9.81*(Tool!$G$14*COS(F10)*(-Tool!$G$17)+Tool!$G$14*SIN(F10)*(Tool!$G$16-Tool!$W$10))</f>
        <v>0</v>
      </c>
      <c r="O10" s="19">
        <f>9.81*(Tool!$G$18*COS(G10)*(-Tool!$G$21)+Tool!$G$18*SIN(G10)*(Tool!$G$20-Tool!$W$10))</f>
        <v>0</v>
      </c>
      <c r="P10" s="19">
        <f>-Tool!$W$10*5*Tool!$W$6*$P$2*SIN(B10)*SQRT(ABS(SIN(B10)))</f>
        <v>13908.728359068915</v>
      </c>
      <c r="Q10" s="19">
        <f>-Tool!$W$10*5*Tool!$W$6*$Q$2*SIN(C10)*SQRT(ABS(SIN(C10)))</f>
        <v>-4500.4925288791292</v>
      </c>
      <c r="R10" s="17">
        <f t="shared" si="5"/>
        <v>64295.586000000003</v>
      </c>
      <c r="S10" s="17">
        <f t="shared" si="6"/>
        <v>1717.0014999999992</v>
      </c>
      <c r="T10" s="16" t="str">
        <f t="shared" si="3"/>
        <v/>
      </c>
      <c r="U10" s="15"/>
      <c r="V10" s="24"/>
      <c r="W10" s="15"/>
      <c r="X10" s="15"/>
      <c r="Y10" s="15"/>
    </row>
    <row r="11" spans="1:25" x14ac:dyDescent="0.25">
      <c r="A11">
        <f t="shared" si="4"/>
        <v>80</v>
      </c>
      <c r="B11" s="8">
        <f>RADIANS(A11-Tool!$G$5+180)</f>
        <v>3.7524578917878086</v>
      </c>
      <c r="C11" s="8">
        <f>RADIANS(A11-Tool!$G$9+180)</f>
        <v>2.9670597283903604</v>
      </c>
      <c r="D11" s="8">
        <f>RADIANS(A11-Tool!$G$11+180)</f>
        <v>4.5378560551852569</v>
      </c>
      <c r="E11" s="8">
        <f>RADIANS(A11-Tool!$G$13)</f>
        <v>-1.5707963267948966</v>
      </c>
      <c r="F11" s="8">
        <f>RADIANS(A11-Tool!$G$15)</f>
        <v>-0.17453292519943295</v>
      </c>
      <c r="G11" s="8">
        <f>RADIANS(A11-Tool!$G$19)</f>
        <v>1.3962634015954636</v>
      </c>
      <c r="H11" s="13">
        <f t="shared" si="0"/>
        <v>-1.2802500789158704</v>
      </c>
      <c r="I11" s="13">
        <f t="shared" si="1"/>
        <v>-4.2752517915708582E-2</v>
      </c>
      <c r="J11" s="14">
        <f>0.5*0.00125*(Tool!$G$10*0.5144)^2*Tool!$W$9*(I11*Tool!$W$6-H11*Tool!$W$10)</f>
        <v>18628.920976448957</v>
      </c>
      <c r="K11" s="11">
        <f>MAX(1,(-0.8/3*Tool!$W$11/Tool!$W$8+2.6))*(0.3*SIN(E11)*ABS(SIN(E11))+0.28*SIN(E11))</f>
        <v>-0.58000000000000007</v>
      </c>
      <c r="L11" s="11">
        <f t="shared" si="2"/>
        <v>1.0413761866723271E-17</v>
      </c>
      <c r="M11" s="12">
        <f>0.5*1.025*(Tool!$G$12*0.5144)^2*Tool!$W$6*Tool!$W$8*(L11*Tool!$W$6-K11*Tool!$W$10)</f>
        <v>42473.450390399994</v>
      </c>
      <c r="N11" s="19">
        <f>9.81*(Tool!$G$14*COS(F11)*(-Tool!$G$17)+Tool!$G$14*SIN(F11)*(Tool!$G$16-Tool!$W$10))</f>
        <v>0</v>
      </c>
      <c r="O11" s="19">
        <f>9.81*(Tool!$G$18*COS(G11)*(-Tool!$G$21)+Tool!$G$18*SIN(G11)*(Tool!$G$20-Tool!$W$10))</f>
        <v>0</v>
      </c>
      <c r="P11" s="19">
        <f>-Tool!$W$10*5*Tool!$W$6*$P$2*SIN(B11)*SQRT(ABS(SIN(B11)))</f>
        <v>21991.354947418455</v>
      </c>
      <c r="Q11" s="19">
        <f>-Tool!$W$10*5*Tool!$W$6*$Q$2*SIN(C11)*SQRT(ABS(SIN(C11)))</f>
        <v>-1628.1254429289572</v>
      </c>
      <c r="R11" s="17">
        <f t="shared" si="5"/>
        <v>81465.600999999995</v>
      </c>
      <c r="S11" s="17">
        <f t="shared" si="6"/>
        <v>1609.7383000000002</v>
      </c>
      <c r="T11" s="16" t="str">
        <f t="shared" si="3"/>
        <v/>
      </c>
      <c r="U11" s="15"/>
      <c r="V11" s="24"/>
      <c r="W11" s="15"/>
      <c r="X11" s="15"/>
      <c r="Y11" s="15"/>
    </row>
    <row r="12" spans="1:25" x14ac:dyDescent="0.25">
      <c r="A12">
        <f t="shared" si="4"/>
        <v>90</v>
      </c>
      <c r="B12" s="8">
        <f>RADIANS(A12-Tool!$G$5+180)</f>
        <v>3.9269908169872414</v>
      </c>
      <c r="C12" s="8">
        <f>RADIANS(A12-Tool!$G$9+180)</f>
        <v>3.1415926535897931</v>
      </c>
      <c r="D12" s="8">
        <f>RADIANS(A12-Tool!$G$11+180)</f>
        <v>4.7123889803846897</v>
      </c>
      <c r="E12" s="8">
        <f>RADIANS(A12-Tool!$G$13)</f>
        <v>-1.3962634015954636</v>
      </c>
      <c r="F12" s="8">
        <f>RADIANS(A12-Tool!$G$15)</f>
        <v>0</v>
      </c>
      <c r="G12" s="8">
        <f>RADIANS(A12-Tool!$G$19)</f>
        <v>1.5707963267948966</v>
      </c>
      <c r="H12" s="13">
        <f t="shared" si="0"/>
        <v>-1.3</v>
      </c>
      <c r="I12" s="13">
        <f t="shared" si="1"/>
        <v>-4.594306705907325E-17</v>
      </c>
      <c r="J12" s="14">
        <f>0.5*0.00125*(Tool!$G$10*0.5144)^2*Tool!$W$9*(I12*Tool!$W$6-H12*Tool!$W$10)</f>
        <v>20639.374080000001</v>
      </c>
      <c r="K12" s="11">
        <f>MAX(1,(-0.8/3*Tool!$W$11/Tool!$W$8+2.6))*(0.3*SIN(E12)*ABS(SIN(E12))+0.28*SIN(E12))</f>
        <v>-0.56670006396130446</v>
      </c>
      <c r="L12" s="11">
        <f t="shared" si="2"/>
        <v>2.9071712182681852E-2</v>
      </c>
      <c r="M12" s="12">
        <f>0.5*1.025*(Tool!$G$12*0.5144)^2*Tool!$W$6*Tool!$W$8*(L12*Tool!$W$6-K12*Tool!$W$10)</f>
        <v>46821.804941008239</v>
      </c>
      <c r="N12" s="19">
        <f>9.81*(Tool!$G$14*COS(F12)*(-Tool!$G$17)+Tool!$G$14*SIN(F12)*(Tool!$G$16-Tool!$W$10))</f>
        <v>0</v>
      </c>
      <c r="O12" s="19">
        <f>9.81*(Tool!$G$18*COS(G12)*(-Tool!$G$21)+Tool!$G$18*SIN(G12)*(Tool!$G$20-Tool!$W$10))</f>
        <v>0</v>
      </c>
      <c r="P12" s="19">
        <f>-Tool!$W$10*5*Tool!$W$6*$P$2*SIN(B12)*SQRT(ABS(SIN(B12)))</f>
        <v>30101.805098506371</v>
      </c>
      <c r="Q12" s="19">
        <f>-Tool!$W$10*5*Tool!$W$6*$Q$2*SIN(C12)*SQRT(ABS(SIN(C12)))</f>
        <v>-3.0511642915703495E-20</v>
      </c>
      <c r="R12" s="17">
        <f t="shared" si="5"/>
        <v>97562.983999999997</v>
      </c>
      <c r="S12" s="17">
        <f t="shared" si="6"/>
        <v>1229.0391000000004</v>
      </c>
      <c r="T12" s="16" t="str">
        <f t="shared" si="3"/>
        <v/>
      </c>
      <c r="U12" s="15"/>
      <c r="V12" s="24"/>
      <c r="W12" s="15"/>
      <c r="X12" s="15"/>
      <c r="Y12" s="15"/>
    </row>
    <row r="13" spans="1:25" x14ac:dyDescent="0.25">
      <c r="A13">
        <f t="shared" si="4"/>
        <v>100</v>
      </c>
      <c r="B13" s="8">
        <f>RADIANS(A13-Tool!$G$5+180)</f>
        <v>4.1015237421866741</v>
      </c>
      <c r="C13" s="8">
        <f>RADIANS(A13-Tool!$G$9+180)</f>
        <v>3.3161255787892263</v>
      </c>
      <c r="D13" s="8">
        <f>RADIANS(A13-Tool!$G$11+180)</f>
        <v>4.8869219055841224</v>
      </c>
      <c r="E13" s="8">
        <f>RADIANS(A13-Tool!$G$13)</f>
        <v>-1.2217304763960306</v>
      </c>
      <c r="F13" s="8">
        <f>RADIANS(A13-Tool!$G$15)</f>
        <v>0.17453292519943295</v>
      </c>
      <c r="G13" s="8">
        <f>RADIANS(A13-Tool!$G$19)</f>
        <v>1.7453292519943295</v>
      </c>
      <c r="H13" s="13">
        <f t="shared" si="0"/>
        <v>-1.2802500789158706</v>
      </c>
      <c r="I13" s="13">
        <f t="shared" si="1"/>
        <v>4.2752517915708499E-2</v>
      </c>
      <c r="J13" s="14">
        <f>0.5*0.00125*(Tool!$G$10*0.5144)^2*Tool!$W$9*(I13*Tool!$W$6-H13*Tool!$W$10)</f>
        <v>22022.710246157461</v>
      </c>
      <c r="K13" s="11">
        <f>MAX(1,(-0.8/3*Tool!$W$11/Tool!$W$8+2.6))*(0.3*SIN(E13)*ABS(SIN(E13))+0.28*SIN(E13))</f>
        <v>-0.5280206002879011</v>
      </c>
      <c r="L13" s="11">
        <f t="shared" si="2"/>
        <v>5.4636946823355854E-2</v>
      </c>
      <c r="M13" s="12">
        <f>0.5*1.025*(Tool!$G$12*0.5144)^2*Tool!$W$6*Tool!$W$8*(L13*Tool!$W$6-K13*Tool!$W$10)</f>
        <v>48669.665340343468</v>
      </c>
      <c r="N13" s="19">
        <f>9.81*(Tool!$G$14*COS(F13)*(-Tool!$G$17)+Tool!$G$14*SIN(F13)*(Tool!$G$16-Tool!$W$10))</f>
        <v>0</v>
      </c>
      <c r="O13" s="19">
        <f>9.81*(Tool!$G$18*COS(G13)*(-Tool!$G$21)+Tool!$G$18*SIN(G13)*(Tool!$G$20-Tool!$W$10))</f>
        <v>0</v>
      </c>
      <c r="P13" s="19">
        <f>-Tool!$W$10*5*Tool!$W$6*$P$2*SIN(B13)*SQRT(ABS(SIN(B13)))</f>
        <v>37532.873524447932</v>
      </c>
      <c r="Q13" s="19">
        <f>-Tool!$W$10*5*Tool!$W$6*$Q$2*SIN(C13)*SQRT(ABS(SIN(C13)))</f>
        <v>1628.1254429289602</v>
      </c>
      <c r="R13" s="17">
        <f t="shared" si="5"/>
        <v>109853.375</v>
      </c>
      <c r="S13" s="17">
        <f t="shared" si="6"/>
        <v>862.11830000000043</v>
      </c>
      <c r="T13" s="16" t="str">
        <f t="shared" si="3"/>
        <v/>
      </c>
      <c r="U13" s="15"/>
      <c r="V13" s="24"/>
      <c r="W13" s="15"/>
      <c r="X13" s="15"/>
      <c r="Y13" s="15"/>
    </row>
    <row r="14" spans="1:25" x14ac:dyDescent="0.25">
      <c r="A14">
        <f t="shared" si="4"/>
        <v>110</v>
      </c>
      <c r="B14" s="8">
        <f>RADIANS(A14-Tool!$G$5+180)</f>
        <v>4.2760566673861078</v>
      </c>
      <c r="C14" s="8">
        <f>RADIANS(A14-Tool!$G$9+180)</f>
        <v>3.4906585039886591</v>
      </c>
      <c r="D14" s="8">
        <f>RADIANS(A14-Tool!$G$11+180)</f>
        <v>5.0614548307835561</v>
      </c>
      <c r="E14" s="8">
        <f>RADIANS(A14-Tool!$G$13)</f>
        <v>-1.0471975511965976</v>
      </c>
      <c r="F14" s="8">
        <f>RADIANS(A14-Tool!$G$15)</f>
        <v>0.3490658503988659</v>
      </c>
      <c r="G14" s="8">
        <f>RADIANS(A14-Tool!$G$19)</f>
        <v>1.9198621771937625</v>
      </c>
      <c r="H14" s="13">
        <f t="shared" si="0"/>
        <v>-1.2216004070216808</v>
      </c>
      <c r="I14" s="13">
        <f t="shared" si="1"/>
        <v>8.0348451210817476E-2</v>
      </c>
      <c r="J14" s="14">
        <f>0.5*0.00125*(Tool!$G$10*0.5144)^2*Tool!$W$9*(I14*Tool!$W$6-H14*Tool!$W$10)</f>
        <v>22583.786253863429</v>
      </c>
      <c r="K14" s="11">
        <f>MAX(1,(-0.8/3*Tool!$W$11/Tool!$W$8+2.6))*(0.3*SIN(E14)*ABS(SIN(E14))+0.28*SIN(E14))</f>
        <v>-0.4674871130596428</v>
      </c>
      <c r="L14" s="11">
        <f t="shared" si="2"/>
        <v>7.3612159321677292E-2</v>
      </c>
      <c r="M14" s="12">
        <f>0.5*1.025*(Tool!$G$12*0.5144)^2*Tool!$W$6*Tool!$W$8*(L14*Tool!$W$6-K14*Tool!$W$10)</f>
        <v>47710.683961015093</v>
      </c>
      <c r="N14" s="19">
        <f>9.81*(Tool!$G$14*COS(F14)*(-Tool!$G$17)+Tool!$G$14*SIN(F14)*(Tool!$G$16-Tool!$W$10))</f>
        <v>0</v>
      </c>
      <c r="O14" s="19">
        <f>9.81*(Tool!$G$18*COS(G14)*(-Tool!$G$21)+Tool!$G$18*SIN(G14)*(Tool!$G$20-Tool!$W$10))</f>
        <v>0</v>
      </c>
      <c r="P14" s="19">
        <f>-Tool!$W$10*5*Tool!$W$6*$P$2*SIN(B14)*SQRT(ABS(SIN(B14)))</f>
        <v>43679.595054633013</v>
      </c>
      <c r="Q14" s="19">
        <f>-Tool!$W$10*5*Tool!$W$6*$Q$2*SIN(C14)*SQRT(ABS(SIN(C14)))</f>
        <v>4500.4925288791246</v>
      </c>
      <c r="R14" s="17">
        <f t="shared" si="5"/>
        <v>118474.558</v>
      </c>
      <c r="S14" s="17">
        <f t="shared" si="6"/>
        <v>363.5199999999997</v>
      </c>
      <c r="T14" s="16" t="str">
        <f t="shared" si="3"/>
        <v/>
      </c>
      <c r="U14" s="15"/>
      <c r="V14" s="24"/>
      <c r="W14" s="15"/>
      <c r="X14" s="15"/>
      <c r="Y14" s="15"/>
    </row>
    <row r="15" spans="1:25" x14ac:dyDescent="0.25">
      <c r="A15">
        <f t="shared" si="4"/>
        <v>120</v>
      </c>
      <c r="B15" s="8">
        <f>RADIANS(A15-Tool!$G$5+180)</f>
        <v>4.4505895925855405</v>
      </c>
      <c r="C15" s="8">
        <f>RADIANS(A15-Tool!$G$9+180)</f>
        <v>3.6651914291880923</v>
      </c>
      <c r="D15" s="8">
        <f>RADIANS(A15-Tool!$G$11+180)</f>
        <v>5.2359877559829888</v>
      </c>
      <c r="E15" s="8">
        <f>RADIANS(A15-Tool!$G$13)</f>
        <v>-0.87266462599716477</v>
      </c>
      <c r="F15" s="8">
        <f>RADIANS(A15-Tool!$G$15)</f>
        <v>0.52359877559829882</v>
      </c>
      <c r="G15" s="8">
        <f>RADIANS(A15-Tool!$G$19)</f>
        <v>2.0943951023931953</v>
      </c>
      <c r="H15" s="13">
        <f t="shared" si="0"/>
        <v>-1.1258330249197701</v>
      </c>
      <c r="I15" s="13">
        <f t="shared" si="1"/>
        <v>0.10825317547305485</v>
      </c>
      <c r="J15" s="14">
        <f>0.5*0.00125*(Tool!$G$10*0.5144)^2*Tool!$W$9*(I15*Tool!$W$6-H15*Tool!$W$10)</f>
        <v>22170.910317521346</v>
      </c>
      <c r="K15" s="11">
        <f>MAX(1,(-0.8/3*Tool!$W$11/Tool!$W$8+2.6))*(0.3*SIN(E15)*ABS(SIN(E15))+0.28*SIN(E15))</f>
        <v>-0.39053967072335338</v>
      </c>
      <c r="L15" s="11">
        <f t="shared" si="2"/>
        <v>8.3708659006037689E-2</v>
      </c>
      <c r="M15" s="12">
        <f>0.5*1.025*(Tool!$G$12*0.5144)^2*Tool!$W$6*Tool!$W$8*(L15*Tool!$W$6-K15*Tool!$W$10)</f>
        <v>43924.234946208831</v>
      </c>
      <c r="N15" s="19">
        <f>9.81*(Tool!$G$14*COS(F15)*(-Tool!$G$17)+Tool!$G$14*SIN(F15)*(Tool!$G$16-Tool!$W$10))</f>
        <v>0</v>
      </c>
      <c r="O15" s="19">
        <f>9.81*(Tool!$G$18*COS(G15)*(-Tool!$G$21)+Tool!$G$18*SIN(G15)*(Tool!$G$20-Tool!$W$10))</f>
        <v>0</v>
      </c>
      <c r="P15" s="19">
        <f>-Tool!$W$10*5*Tool!$W$6*$P$2*SIN(B15)*SQRT(ABS(SIN(B15)))</f>
        <v>48059.661032673292</v>
      </c>
      <c r="Q15" s="19">
        <f>-Tool!$W$10*5*Tool!$W$6*$Q$2*SIN(C15)*SQRT(ABS(SIN(C15)))</f>
        <v>7954.9512883486614</v>
      </c>
      <c r="R15" s="17">
        <f t="shared" si="5"/>
        <v>122109.758</v>
      </c>
      <c r="S15" s="17">
        <f t="shared" si="6"/>
        <v>-189.93659999999946</v>
      </c>
      <c r="T15" s="16" t="str">
        <f t="shared" si="3"/>
        <v/>
      </c>
      <c r="U15" s="15" t="s">
        <v>140</v>
      </c>
      <c r="V15" s="16">
        <f ca="1">OFFSET(T2:T38,T39,0,1,1)</f>
        <v>32.707293673542452</v>
      </c>
      <c r="W15" s="15" t="s">
        <v>3</v>
      </c>
      <c r="X15" s="15"/>
      <c r="Y15" s="15"/>
    </row>
    <row r="16" spans="1:25" x14ac:dyDescent="0.25">
      <c r="A16">
        <f t="shared" si="4"/>
        <v>130</v>
      </c>
      <c r="B16" s="8">
        <f>RADIANS(A16-Tool!$G$5+180)</f>
        <v>4.6251225177849733</v>
      </c>
      <c r="C16" s="8">
        <f>RADIANS(A16-Tool!$G$9+180)</f>
        <v>3.839724354387525</v>
      </c>
      <c r="D16" s="8">
        <f>RADIANS(A16-Tool!$G$11+180)</f>
        <v>5.4105206811824216</v>
      </c>
      <c r="E16" s="8">
        <f>RADIANS(A16-Tool!$G$13)</f>
        <v>-0.69813170079773179</v>
      </c>
      <c r="F16" s="8">
        <f>RADIANS(A16-Tool!$G$15)</f>
        <v>0.69813170079773179</v>
      </c>
      <c r="G16" s="8">
        <f>RADIANS(A16-Tool!$G$19)</f>
        <v>2.2689280275926285</v>
      </c>
      <c r="H16" s="13">
        <f t="shared" si="0"/>
        <v>-0.99585777605467163</v>
      </c>
      <c r="I16" s="13">
        <f t="shared" si="1"/>
        <v>0.123100969126526</v>
      </c>
      <c r="J16" s="14">
        <f>0.5*0.00125*(Tool!$G$10*0.5144)^2*Tool!$W$9*(I16*Tool!$W$6-H16*Tool!$W$10)</f>
        <v>20696.691191539609</v>
      </c>
      <c r="K16" s="11">
        <f>MAX(1,(-0.8/3*Tool!$W$11/Tool!$W$8+2.6))*(0.3*SIN(E16)*ABS(SIN(E16))+0.28*SIN(E16))</f>
        <v>-0.30393330406219143</v>
      </c>
      <c r="L16" s="11">
        <f t="shared" si="2"/>
        <v>8.3708659006037689E-2</v>
      </c>
      <c r="M16" s="12">
        <f>0.5*1.025*(Tool!$G$12*0.5144)^2*Tool!$W$6*Tool!$W$8*(L16*Tool!$W$6-K16*Tool!$W$10)</f>
        <v>37582.043191250821</v>
      </c>
      <c r="N16" s="19">
        <f>9.81*(Tool!$G$14*COS(F16)*(-Tool!$G$17)+Tool!$G$14*SIN(F16)*(Tool!$G$16-Tool!$W$10))</f>
        <v>0</v>
      </c>
      <c r="O16" s="19">
        <f>9.81*(Tool!$G$18*COS(G16)*(-Tool!$G$21)+Tool!$G$18*SIN(G16)*(Tool!$G$20-Tool!$W$10))</f>
        <v>0</v>
      </c>
      <c r="P16" s="19">
        <f>-Tool!$W$10*5*Tool!$W$6*$P$2*SIN(B16)*SQRT(ABS(SIN(B16)))</f>
        <v>50336.309960811966</v>
      </c>
      <c r="Q16" s="19">
        <f>-Tool!$W$10*5*Tool!$W$6*$Q$2*SIN(C16)*SQRT(ABS(SIN(C16)))</f>
        <v>11595.347359453699</v>
      </c>
      <c r="R16" s="17">
        <f t="shared" si="5"/>
        <v>120210.39200000001</v>
      </c>
      <c r="S16" s="17">
        <f t="shared" si="6"/>
        <v>-741.46730000000093</v>
      </c>
      <c r="T16" s="16" t="str">
        <f t="shared" si="3"/>
        <v/>
      </c>
      <c r="U16" s="15" t="s">
        <v>161</v>
      </c>
      <c r="V16" s="25">
        <f ca="1">OFFSET(R2:R38,S39,0,1,1)/(Tool!$W$10-Tool!$G$24)</f>
        <v>361.34438518518516</v>
      </c>
      <c r="W16" s="25" t="s">
        <v>118</v>
      </c>
      <c r="X16" s="15"/>
      <c r="Y16" s="15"/>
    </row>
    <row r="17" spans="1:25" x14ac:dyDescent="0.25">
      <c r="A17">
        <f t="shared" si="4"/>
        <v>140</v>
      </c>
      <c r="B17" s="8">
        <f>RADIANS(A17-Tool!$G$5+180)</f>
        <v>4.7996554429844061</v>
      </c>
      <c r="C17" s="8">
        <f>RADIANS(A17-Tool!$G$9+180)</f>
        <v>4.0142572795869578</v>
      </c>
      <c r="D17" s="8">
        <f>RADIANS(A17-Tool!$G$11+180)</f>
        <v>5.5850536063818543</v>
      </c>
      <c r="E17" s="8">
        <f>RADIANS(A17-Tool!$G$13)</f>
        <v>-0.52359877559829882</v>
      </c>
      <c r="F17" s="8">
        <f>RADIANS(A17-Tool!$G$15)</f>
        <v>0.87266462599716477</v>
      </c>
      <c r="G17" s="8">
        <f>RADIANS(A17-Tool!$G$19)</f>
        <v>2.4434609527920612</v>
      </c>
      <c r="H17" s="13">
        <f t="shared" si="0"/>
        <v>-0.83562389259250147</v>
      </c>
      <c r="I17" s="13">
        <f t="shared" si="1"/>
        <v>0.12310096912652602</v>
      </c>
      <c r="J17" s="14">
        <f>0.5*0.00125*(Tool!$G$10*0.5144)^2*Tool!$W$9*(I17*Tool!$W$6-H17*Tool!$W$10)</f>
        <v>18152.747298411257</v>
      </c>
      <c r="K17" s="11">
        <f>MAX(1,(-0.8/3*Tool!$W$11/Tool!$W$8+2.6))*(0.3*SIN(E17)*ABS(SIN(E17))+0.28*SIN(E17))</f>
        <v>-0.21499999999999997</v>
      </c>
      <c r="L17" s="11">
        <f t="shared" si="2"/>
        <v>7.3612159321677278E-2</v>
      </c>
      <c r="M17" s="12">
        <f>0.5*1.025*(Tool!$G$12*0.5144)^2*Tool!$W$6*Tool!$W$8*(L17*Tool!$W$6-K17*Tool!$W$10)</f>
        <v>29221.030735577067</v>
      </c>
      <c r="N17" s="19">
        <f>9.81*(Tool!$G$14*COS(F17)*(-Tool!$G$17)+Tool!$G$14*SIN(F17)*(Tool!$G$16-Tool!$W$10))</f>
        <v>0</v>
      </c>
      <c r="O17" s="19">
        <f>9.81*(Tool!$G$18*COS(G17)*(-Tool!$G$21)+Tool!$G$18*SIN(G17)*(Tool!$G$20-Tool!$W$10))</f>
        <v>0</v>
      </c>
      <c r="P17" s="19">
        <f>-Tool!$W$10*5*Tool!$W$6*$P$2*SIN(B17)*SQRT(ABS(SIN(B17)))</f>
        <v>50336.309960811966</v>
      </c>
      <c r="Q17" s="19">
        <f>-Tool!$W$10*5*Tool!$W$6*$Q$2*SIN(C17)*SQRT(ABS(SIN(C17)))</f>
        <v>15085.6305634447</v>
      </c>
      <c r="R17" s="17">
        <f t="shared" si="5"/>
        <v>112795.719</v>
      </c>
      <c r="S17" s="17">
        <f t="shared" si="6"/>
        <v>-1240.0830000000001</v>
      </c>
      <c r="T17" s="16" t="str">
        <f t="shared" si="3"/>
        <v/>
      </c>
      <c r="U17" s="15" t="s">
        <v>143</v>
      </c>
      <c r="V17" s="17">
        <f>0.01*Tool!W4*9.81*Tool!G26*ABS((Tool!G24-Tool!W10)/Tool!G23)</f>
        <v>529.74</v>
      </c>
      <c r="W17" s="15" t="s">
        <v>224</v>
      </c>
      <c r="X17" s="15"/>
      <c r="Y17" s="15"/>
    </row>
    <row r="18" spans="1:25" x14ac:dyDescent="0.25">
      <c r="A18">
        <f t="shared" si="4"/>
        <v>150</v>
      </c>
      <c r="B18" s="8">
        <f>RADIANS(A18-Tool!$G$5+180)</f>
        <v>4.9741883681838388</v>
      </c>
      <c r="C18" s="8">
        <f>RADIANS(A18-Tool!$G$9+180)</f>
        <v>4.1887902047863905</v>
      </c>
      <c r="D18" s="8">
        <f>RADIANS(A18-Tool!$G$11+180)</f>
        <v>5.7595865315812871</v>
      </c>
      <c r="E18" s="8">
        <f>RADIANS(A18-Tool!$G$13)</f>
        <v>-0.3490658503988659</v>
      </c>
      <c r="F18" s="8">
        <f>RADIANS(A18-Tool!$G$15)</f>
        <v>1.0471975511965976</v>
      </c>
      <c r="G18" s="8">
        <f>RADIANS(A18-Tool!$G$19)</f>
        <v>2.6179938779914944</v>
      </c>
      <c r="H18" s="13">
        <f t="shared" si="0"/>
        <v>-0.65000000000000058</v>
      </c>
      <c r="I18" s="13">
        <f t="shared" si="1"/>
        <v>0.10825317547305489</v>
      </c>
      <c r="J18" s="14">
        <f>0.5*0.00125*(Tool!$G$10*0.5144)^2*Tool!$W$9*(I18*Tool!$W$6-H18*Tool!$W$10)</f>
        <v>14616.375086031281</v>
      </c>
      <c r="K18" s="11">
        <f>MAX(1,(-0.8/3*Tool!$W$11/Tool!$W$8+2.6))*(0.3*SIN(E18)*ABS(SIN(E18))+0.28*SIN(E18))</f>
        <v>-0.13085897366334054</v>
      </c>
      <c r="L18" s="11">
        <f t="shared" si="2"/>
        <v>5.4636946823355841E-2</v>
      </c>
      <c r="M18" s="12">
        <f>0.5*1.025*(Tool!$G$12*0.5144)^2*Tool!$W$6*Tool!$W$8*(L18*Tool!$W$6-K18*Tool!$W$10)</f>
        <v>19585.484917224778</v>
      </c>
      <c r="N18" s="19">
        <f>9.81*(Tool!$G$14*COS(F18)*(-Tool!$G$17)+Tool!$G$14*SIN(F18)*(Tool!$G$16-Tool!$W$10))</f>
        <v>0</v>
      </c>
      <c r="O18" s="19">
        <f>9.81*(Tool!$G$18*COS(G18)*(-Tool!$G$21)+Tool!$G$18*SIN(G18)*(Tool!$G$20-Tool!$W$10))</f>
        <v>0</v>
      </c>
      <c r="P18" s="19">
        <f>-Tool!$W$10*5*Tool!$W$6*$P$2*SIN(B18)*SQRT(ABS(SIN(B18)))</f>
        <v>48059.661032673306</v>
      </c>
      <c r="Q18" s="19">
        <f>-Tool!$W$10*5*Tool!$W$6*$Q$2*SIN(C18)*SQRT(ABS(SIN(C18)))</f>
        <v>18133.367599522262</v>
      </c>
      <c r="R18" s="17">
        <f t="shared" si="5"/>
        <v>100394.889</v>
      </c>
      <c r="S18" s="17">
        <f t="shared" si="6"/>
        <v>-1642.6152000000002</v>
      </c>
      <c r="T18" s="16" t="str">
        <f t="shared" si="3"/>
        <v/>
      </c>
      <c r="U18" s="15" t="s">
        <v>144</v>
      </c>
      <c r="V18" s="25">
        <f ca="1">-MAX(0,V17-OFFSET(S2:S38,S39,0,1,1))/(Tool!W10-Tool!G24)*180/PI()</f>
        <v>0</v>
      </c>
      <c r="W18" s="15" t="s">
        <v>236</v>
      </c>
      <c r="X18" s="15"/>
      <c r="Y18" s="15"/>
    </row>
    <row r="19" spans="1:25" x14ac:dyDescent="0.25">
      <c r="A19">
        <f t="shared" si="4"/>
        <v>160</v>
      </c>
      <c r="B19" s="8">
        <f>RADIANS(A19-Tool!$G$5+180)</f>
        <v>5.1487212933832724</v>
      </c>
      <c r="C19" s="8">
        <f>RADIANS(A19-Tool!$G$9+180)</f>
        <v>4.3633231299858242</v>
      </c>
      <c r="D19" s="8">
        <f>RADIANS(A19-Tool!$G$11+180)</f>
        <v>5.9341194567807207</v>
      </c>
      <c r="E19" s="8">
        <f>RADIANS(A19-Tool!$G$13)</f>
        <v>-0.17453292519943295</v>
      </c>
      <c r="F19" s="8">
        <f>RADIANS(A19-Tool!$G$15)</f>
        <v>1.2217304763960306</v>
      </c>
      <c r="G19" s="8">
        <f>RADIANS(A19-Tool!$G$19)</f>
        <v>2.7925268031909272</v>
      </c>
      <c r="H19" s="13">
        <f t="shared" si="0"/>
        <v>-0.4446261863233692</v>
      </c>
      <c r="I19" s="13">
        <f t="shared" si="1"/>
        <v>8.0348451210817393E-2</v>
      </c>
      <c r="J19" s="14">
        <f>0.5*0.00125*(Tool!$G$10*0.5144)^2*Tool!$W$9*(I19*Tool!$W$6-H19*Tool!$W$10)</f>
        <v>10248.20041424117</v>
      </c>
      <c r="K19" s="11">
        <f>MAX(1,(-0.8/3*Tool!$W$11/Tool!$W$8+2.6))*(0.3*SIN(E19)*ABS(SIN(E19))+0.28*SIN(E19))</f>
        <v>-5.7667596628854241E-2</v>
      </c>
      <c r="L19" s="11">
        <f t="shared" si="2"/>
        <v>2.9071712182681841E-2</v>
      </c>
      <c r="M19" s="12">
        <f>0.5*1.025*(Tool!$G$12*0.5144)^2*Tool!$W$6*Tool!$W$8*(L19*Tool!$W$6-K19*Tool!$W$10)</f>
        <v>9545.3131335121543</v>
      </c>
      <c r="N19" s="19">
        <f>9.81*(Tool!$G$14*COS(F19)*(-Tool!$G$17)+Tool!$G$14*SIN(F19)*(Tool!$G$16-Tool!$W$10))</f>
        <v>0</v>
      </c>
      <c r="O19" s="19">
        <f>9.81*(Tool!$G$18*COS(G19)*(-Tool!$G$21)+Tool!$G$18*SIN(G19)*(Tool!$G$20-Tool!$W$10))</f>
        <v>0</v>
      </c>
      <c r="P19" s="19">
        <f>-Tool!$W$10*5*Tool!$W$6*$P$2*SIN(B19)*SQRT(ABS(SIN(B19)))</f>
        <v>43679.595054633013</v>
      </c>
      <c r="Q19" s="19">
        <f>-Tool!$W$10*5*Tool!$W$6*$Q$2*SIN(C19)*SQRT(ABS(SIN(C19)))</f>
        <v>20495.628605989365</v>
      </c>
      <c r="R19" s="17">
        <f t="shared" si="5"/>
        <v>83968.736999999994</v>
      </c>
      <c r="S19" s="17">
        <f t="shared" si="6"/>
        <v>-1916.5764999999992</v>
      </c>
      <c r="T19" s="16" t="str">
        <f t="shared" si="3"/>
        <v/>
      </c>
      <c r="U19" s="15" t="s">
        <v>145</v>
      </c>
      <c r="V19" s="25">
        <f ca="1">SQRT(V18^2+V16^2)</f>
        <v>361.34438518518516</v>
      </c>
      <c r="W19" s="15" t="s">
        <v>118</v>
      </c>
      <c r="X19" s="15"/>
      <c r="Y19" s="15"/>
    </row>
    <row r="20" spans="1:25" x14ac:dyDescent="0.25">
      <c r="A20">
        <f t="shared" si="4"/>
        <v>170</v>
      </c>
      <c r="B20" s="8">
        <f>RADIANS(A20-Tool!$G$5+180)</f>
        <v>5.3232542185827052</v>
      </c>
      <c r="C20" s="8">
        <f>RADIANS(A20-Tool!$G$9+180)</f>
        <v>4.5378560551852569</v>
      </c>
      <c r="D20" s="8">
        <f>RADIANS(A20-Tool!$G$11+180)</f>
        <v>6.1086523819801535</v>
      </c>
      <c r="E20" s="8">
        <f>RADIANS(A20-Tool!$G$13)</f>
        <v>0</v>
      </c>
      <c r="F20" s="8">
        <f>RADIANS(A20-Tool!$G$15)</f>
        <v>1.3962634015954636</v>
      </c>
      <c r="G20" s="8">
        <f>RADIANS(A20-Tool!$G$19)</f>
        <v>2.9670597283903604</v>
      </c>
      <c r="H20" s="13">
        <f t="shared" si="0"/>
        <v>-0.2257426309670095</v>
      </c>
      <c r="I20" s="13">
        <f t="shared" si="1"/>
        <v>4.2752517915708596E-2</v>
      </c>
      <c r="J20" s="14">
        <f>0.5*0.00125*(Tool!$G$10*0.5144)^2*Tool!$W$9*(I20*Tool!$W$6-H20*Tool!$W$10)</f>
        <v>5280.8843320323322</v>
      </c>
      <c r="K20" s="11">
        <f>MAX(1,(-0.8/3*Tool!$W$11/Tool!$W$8+2.6))*(0.3*SIN(E20)*ABS(SIN(E20))+0.28*SIN(E20))</f>
        <v>0</v>
      </c>
      <c r="L20" s="11">
        <f t="shared" si="2"/>
        <v>0</v>
      </c>
      <c r="M20" s="12">
        <f>0.5*1.025*(Tool!$G$12*0.5144)^2*Tool!$W$6*Tool!$W$8*(L20*Tool!$W$6-K20*Tool!$W$10)</f>
        <v>0</v>
      </c>
      <c r="N20" s="19">
        <f>9.81*(Tool!$G$14*COS(F20)*(-Tool!$G$17)+Tool!$G$14*SIN(F20)*(Tool!$G$16-Tool!$W$10))</f>
        <v>0</v>
      </c>
      <c r="O20" s="19">
        <f>9.81*(Tool!$G$18*COS(G20)*(-Tool!$G$21)+Tool!$G$18*SIN(G20)*(Tool!$G$20-Tool!$W$10))</f>
        <v>0</v>
      </c>
      <c r="P20" s="19">
        <f>-Tool!$W$10*5*Tool!$W$6*$P$2*SIN(B20)*SQRT(ABS(SIN(B20)))</f>
        <v>37532.873524447954</v>
      </c>
      <c r="Q20" s="19">
        <f>-Tool!$W$10*5*Tool!$W$6*$Q$2*SIN(C20)*SQRT(ABS(SIN(C20)))</f>
        <v>21989.214035255802</v>
      </c>
      <c r="R20" s="17">
        <f t="shared" si="5"/>
        <v>64802.972000000002</v>
      </c>
      <c r="S20" s="17">
        <f t="shared" si="6"/>
        <v>-2174.6480000000001</v>
      </c>
      <c r="T20" s="16" t="str">
        <f t="shared" si="3"/>
        <v/>
      </c>
      <c r="U20" s="15" t="s">
        <v>146</v>
      </c>
      <c r="V20" s="25">
        <f ca="1">ATAN2(V18,V16)*180/PI()</f>
        <v>90</v>
      </c>
      <c r="W20" s="15" t="s">
        <v>3</v>
      </c>
      <c r="X20" s="15"/>
      <c r="Y20" s="15"/>
    </row>
    <row r="21" spans="1:25" x14ac:dyDescent="0.25">
      <c r="A21">
        <f t="shared" si="4"/>
        <v>180</v>
      </c>
      <c r="B21" s="8">
        <f>RADIANS(A21-Tool!$G$5+180)</f>
        <v>5.497787143782138</v>
      </c>
      <c r="C21" s="8">
        <f>RADIANS(A21-Tool!$G$9+180)</f>
        <v>4.7123889803846897</v>
      </c>
      <c r="D21" s="8">
        <f>RADIANS(A21-Tool!$G$11+180)</f>
        <v>6.2831853071795862</v>
      </c>
      <c r="E21" s="8">
        <f>RADIANS(A21-Tool!$G$13)</f>
        <v>0.17453292519943295</v>
      </c>
      <c r="F21" s="8">
        <f>RADIANS(A21-Tool!$G$15)</f>
        <v>1.5707963267948966</v>
      </c>
      <c r="G21" s="8">
        <f>RADIANS(A21-Tool!$G$19)</f>
        <v>3.1415926535897931</v>
      </c>
      <c r="H21" s="13">
        <f t="shared" si="0"/>
        <v>-3.185385982762412E-16</v>
      </c>
      <c r="I21" s="13">
        <f t="shared" si="1"/>
        <v>6.1257422745431001E-17</v>
      </c>
      <c r="J21" s="14">
        <f>0.5*0.00125*(Tool!$G$10*0.5144)^2*Tool!$W$9*(I21*Tool!$W$6-H21*Tool!$W$10)</f>
        <v>7.4886341898394721E-12</v>
      </c>
      <c r="K21" s="11">
        <f>MAX(1,(-0.8/3*Tool!$W$11/Tool!$W$8+2.6))*(0.3*SIN(E21)*ABS(SIN(E21))+0.28*SIN(E21))</f>
        <v>5.7667596628854241E-2</v>
      </c>
      <c r="L21" s="11">
        <f t="shared" si="2"/>
        <v>-2.9071712182681841E-2</v>
      </c>
      <c r="M21" s="12">
        <f>0.5*1.025*(Tool!$G$12*0.5144)^2*Tool!$W$6*Tool!$W$8*(L21*Tool!$W$6-K21*Tool!$W$10)</f>
        <v>-9545.3131335121543</v>
      </c>
      <c r="N21" s="19">
        <f>9.81*(Tool!$G$14*COS(F21)*(-Tool!$G$17)+Tool!$G$14*SIN(F21)*(Tool!$G$16-Tool!$W$10))</f>
        <v>0</v>
      </c>
      <c r="O21" s="19">
        <f>9.81*(Tool!$G$18*COS(G21)*(-Tool!$G$21)+Tool!$G$18*SIN(G21)*(Tool!$G$20-Tool!$W$10))</f>
        <v>0</v>
      </c>
      <c r="P21" s="19">
        <f>-Tool!$W$10*5*Tool!$W$6*$P$2*SIN(B21)*SQRT(ABS(SIN(B21)))</f>
        <v>30101.805098506389</v>
      </c>
      <c r="Q21" s="19">
        <f>-Tool!$W$10*5*Tool!$W$6*$Q$2*SIN(C21)*SQRT(ABS(SIN(C21)))</f>
        <v>22500</v>
      </c>
      <c r="R21" s="17">
        <f t="shared" si="5"/>
        <v>43056.491999999998</v>
      </c>
      <c r="S21" s="17">
        <f t="shared" si="6"/>
        <v>-2394.2291999999998</v>
      </c>
      <c r="T21" s="16" t="str">
        <f t="shared" si="3"/>
        <v/>
      </c>
      <c r="U21" s="15" t="s">
        <v>146</v>
      </c>
      <c r="V21" s="25">
        <f ca="1">MAX(MIN(Tool!G29-Tool!G27/2,MOD(V20,360)),Tool!G28+Tool!G27/2)</f>
        <v>135</v>
      </c>
      <c r="W21" s="15" t="s">
        <v>235</v>
      </c>
      <c r="X21" s="15"/>
      <c r="Y21" s="15"/>
    </row>
    <row r="22" spans="1:25" x14ac:dyDescent="0.25">
      <c r="A22">
        <f t="shared" si="4"/>
        <v>190</v>
      </c>
      <c r="B22" s="8">
        <f>RADIANS(A22-Tool!$G$5+180)</f>
        <v>5.6723200689815707</v>
      </c>
      <c r="C22" s="8">
        <f>RADIANS(A22-Tool!$G$9+180)</f>
        <v>4.8869219055841224</v>
      </c>
      <c r="D22" s="8">
        <f>RADIANS(A22-Tool!$G$11+180)</f>
        <v>6.457718232379019</v>
      </c>
      <c r="E22" s="8">
        <f>RADIANS(A22-Tool!$G$13)</f>
        <v>0.3490658503988659</v>
      </c>
      <c r="F22" s="8">
        <f>RADIANS(A22-Tool!$G$15)</f>
        <v>1.7453292519943295</v>
      </c>
      <c r="G22" s="8">
        <f>RADIANS(A22-Tool!$G$19)</f>
        <v>3.3161255787892263</v>
      </c>
      <c r="H22" s="13">
        <f t="shared" si="0"/>
        <v>0.22574263096700889</v>
      </c>
      <c r="I22" s="13">
        <f t="shared" si="1"/>
        <v>-4.2752517915708485E-2</v>
      </c>
      <c r="J22" s="14">
        <f>0.5*0.00125*(Tool!$G$10*0.5144)^2*Tool!$W$9*(I22*Tool!$W$6-H22*Tool!$W$10)</f>
        <v>-5280.8843320323176</v>
      </c>
      <c r="K22" s="11">
        <f>MAX(1,(-0.8/3*Tool!$W$11/Tool!$W$8+2.6))*(0.3*SIN(E22)*ABS(SIN(E22))+0.28*SIN(E22))</f>
        <v>0.13085897366334054</v>
      </c>
      <c r="L22" s="11">
        <f t="shared" si="2"/>
        <v>-5.4636946823355841E-2</v>
      </c>
      <c r="M22" s="12">
        <f>0.5*1.025*(Tool!$G$12*0.5144)^2*Tool!$W$6*Tool!$W$8*(L22*Tool!$W$6-K22*Tool!$W$10)</f>
        <v>-19585.484917224778</v>
      </c>
      <c r="N22" s="19">
        <f>9.81*(Tool!$G$14*COS(F22)*(-Tool!$G$17)+Tool!$G$14*SIN(F22)*(Tool!$G$16-Tool!$W$10))</f>
        <v>0</v>
      </c>
      <c r="O22" s="19">
        <f>9.81*(Tool!$G$18*COS(G22)*(-Tool!$G$21)+Tool!$G$18*SIN(G22)*(Tool!$G$20-Tool!$W$10))</f>
        <v>0</v>
      </c>
      <c r="P22" s="19">
        <f>-Tool!$W$10*5*Tool!$W$6*$P$2*SIN(B22)*SQRT(ABS(SIN(B22)))</f>
        <v>21991.354947418473</v>
      </c>
      <c r="Q22" s="19">
        <f>-Tool!$W$10*5*Tool!$W$6*$Q$2*SIN(C22)*SQRT(ABS(SIN(C22)))</f>
        <v>21989.214035255805</v>
      </c>
      <c r="R22" s="17">
        <f t="shared" si="5"/>
        <v>19114.2</v>
      </c>
      <c r="S22" s="17">
        <f t="shared" si="6"/>
        <v>-2417.9074000000001</v>
      </c>
      <c r="T22" s="16" t="str">
        <f t="shared" si="3"/>
        <v/>
      </c>
      <c r="U22" s="15" t="s">
        <v>144</v>
      </c>
      <c r="V22" s="25">
        <f ca="1">V16/TAN(V21*PI()/180)</f>
        <v>-361.3443851851851</v>
      </c>
      <c r="W22" s="15" t="s">
        <v>118</v>
      </c>
      <c r="X22" s="15"/>
      <c r="Y22" s="15"/>
    </row>
    <row r="23" spans="1:25" x14ac:dyDescent="0.25">
      <c r="A23">
        <f t="shared" si="4"/>
        <v>200</v>
      </c>
      <c r="B23" s="8">
        <f>RADIANS(A23-Tool!$G$5+180)</f>
        <v>5.8468529941810043</v>
      </c>
      <c r="C23" s="8">
        <f>RADIANS(A23-Tool!$G$9+180)</f>
        <v>5.0614548307835561</v>
      </c>
      <c r="D23" s="8">
        <f>RADIANS(A23-Tool!$G$11+180)</f>
        <v>6.6322511575784526</v>
      </c>
      <c r="E23" s="8">
        <f>RADIANS(A23-Tool!$G$13)</f>
        <v>0.52359877559829882</v>
      </c>
      <c r="F23" s="8">
        <f>RADIANS(A23-Tool!$G$15)</f>
        <v>1.9198621771937625</v>
      </c>
      <c r="G23" s="8">
        <f>RADIANS(A23-Tool!$G$19)</f>
        <v>3.4906585039886591</v>
      </c>
      <c r="H23" s="13">
        <f t="shared" si="0"/>
        <v>0.44462618632336964</v>
      </c>
      <c r="I23" s="13">
        <f t="shared" si="1"/>
        <v>-8.0348451210817462E-2</v>
      </c>
      <c r="J23" s="14">
        <f>0.5*0.00125*(Tool!$G$10*0.5144)^2*Tool!$W$9*(I23*Tool!$W$6-H23*Tool!$W$10)</f>
        <v>-10248.200414241181</v>
      </c>
      <c r="K23" s="11">
        <f>MAX(1,(-0.8/3*Tool!$W$11/Tool!$W$8+2.6))*(0.3*SIN(E23)*ABS(SIN(E23))+0.28*SIN(E23))</f>
        <v>0.21499999999999997</v>
      </c>
      <c r="L23" s="11">
        <f t="shared" si="2"/>
        <v>-7.3612159321677278E-2</v>
      </c>
      <c r="M23" s="12">
        <f>0.5*1.025*(Tool!$G$12*0.5144)^2*Tool!$W$6*Tool!$W$8*(L23*Tool!$W$6-K23*Tool!$W$10)</f>
        <v>-29221.030735577067</v>
      </c>
      <c r="N23" s="19">
        <f>9.81*(Tool!$G$14*COS(F23)*(-Tool!$G$17)+Tool!$G$14*SIN(F23)*(Tool!$G$16-Tool!$W$10))</f>
        <v>0</v>
      </c>
      <c r="O23" s="19">
        <f>9.81*(Tool!$G$18*COS(G23)*(-Tool!$G$21)+Tool!$G$18*SIN(G23)*(Tool!$G$20-Tool!$W$10))</f>
        <v>0</v>
      </c>
      <c r="P23" s="19">
        <f>-Tool!$W$10*5*Tool!$W$6*$P$2*SIN(B23)*SQRT(ABS(SIN(B23)))</f>
        <v>13908.728359068915</v>
      </c>
      <c r="Q23" s="19">
        <f>-Tool!$W$10*5*Tool!$W$6*$Q$2*SIN(C23)*SQRT(ABS(SIN(C23)))</f>
        <v>20495.628605989365</v>
      </c>
      <c r="R23" s="17">
        <f t="shared" si="5"/>
        <v>-5064.8739999999998</v>
      </c>
      <c r="S23" s="17">
        <f t="shared" si="6"/>
        <v>-2233.4268000000002</v>
      </c>
      <c r="T23" s="16" t="str">
        <f t="shared" si="3"/>
        <v/>
      </c>
      <c r="U23" s="15" t="s">
        <v>145</v>
      </c>
      <c r="V23" s="15">
        <f ca="1">SQRT(V22^2+V16^2)</f>
        <v>511.01813021625651</v>
      </c>
      <c r="W23" s="15" t="s">
        <v>223</v>
      </c>
      <c r="X23" s="15"/>
      <c r="Y23" s="15"/>
    </row>
    <row r="24" spans="1:25" x14ac:dyDescent="0.25">
      <c r="A24">
        <f t="shared" si="4"/>
        <v>210</v>
      </c>
      <c r="B24" s="8">
        <f>RADIANS(A24-Tool!$G$5+180)</f>
        <v>6.0213859193804371</v>
      </c>
      <c r="C24" s="8">
        <f>RADIANS(A24-Tool!$G$9+180)</f>
        <v>5.2359877559829888</v>
      </c>
      <c r="D24" s="8">
        <f>RADIANS(A24-Tool!$G$11+180)</f>
        <v>6.8067840827778854</v>
      </c>
      <c r="E24" s="8">
        <f>RADIANS(A24-Tool!$G$13)</f>
        <v>0.69813170079773179</v>
      </c>
      <c r="F24" s="8">
        <f>RADIANS(A24-Tool!$G$15)</f>
        <v>2.0943951023931953</v>
      </c>
      <c r="G24" s="8">
        <f>RADIANS(A24-Tool!$G$19)</f>
        <v>3.6651914291880923</v>
      </c>
      <c r="H24" s="13">
        <f t="shared" si="0"/>
        <v>0.65</v>
      </c>
      <c r="I24" s="13">
        <f t="shared" si="1"/>
        <v>-0.10825317547305482</v>
      </c>
      <c r="J24" s="14">
        <f>0.5*0.00125*(Tool!$G$10*0.5144)^2*Tool!$W$9*(I24*Tool!$W$6-H24*Tool!$W$10)</f>
        <v>-14616.37508603127</v>
      </c>
      <c r="K24" s="11">
        <f>MAX(1,(-0.8/3*Tool!$W$11/Tool!$W$8+2.6))*(0.3*SIN(E24)*ABS(SIN(E24))+0.28*SIN(E24))</f>
        <v>0.30393330406219143</v>
      </c>
      <c r="L24" s="11">
        <f t="shared" si="2"/>
        <v>-8.3708659006037689E-2</v>
      </c>
      <c r="M24" s="12">
        <f>0.5*1.025*(Tool!$G$12*0.5144)^2*Tool!$W$6*Tool!$W$8*(L24*Tool!$W$6-K24*Tool!$W$10)</f>
        <v>-37582.043191250821</v>
      </c>
      <c r="N24" s="19">
        <f>9.81*(Tool!$G$14*COS(F24)*(-Tool!$G$17)+Tool!$G$14*SIN(F24)*(Tool!$G$16-Tool!$W$10))</f>
        <v>0</v>
      </c>
      <c r="O24" s="19">
        <f>9.81*(Tool!$G$18*COS(G24)*(-Tool!$G$21)+Tool!$G$18*SIN(G24)*(Tool!$G$20-Tool!$W$10))</f>
        <v>0</v>
      </c>
      <c r="P24" s="19">
        <f>-Tool!$W$10*5*Tool!$W$6*$P$2*SIN(B24)*SQRT(ABS(SIN(B24)))</f>
        <v>6665.9090231036507</v>
      </c>
      <c r="Q24" s="19">
        <f>-Tool!$W$10*5*Tool!$W$6*$Q$2*SIN(C24)*SQRT(ABS(SIN(C24)))</f>
        <v>18133.367599522269</v>
      </c>
      <c r="R24" s="17">
        <f t="shared" si="5"/>
        <v>-27399.142</v>
      </c>
      <c r="S24" s="17">
        <f t="shared" si="6"/>
        <v>-1828.9616000000001</v>
      </c>
      <c r="T24" s="16" t="str">
        <f t="shared" si="3"/>
        <v/>
      </c>
      <c r="U24" s="15" t="s">
        <v>162</v>
      </c>
      <c r="V24" s="15">
        <f ca="1">SQRT((V23/Tool!G26/COS(Tool!G27/2*PI()/180))^2+(Tool!G31/1000*Tool!G30/2)^2)</f>
        <v>514.52845345006813</v>
      </c>
      <c r="W24" s="15" t="s">
        <v>222</v>
      </c>
      <c r="X24" s="15"/>
      <c r="Y24" s="15"/>
    </row>
    <row r="25" spans="1:25" x14ac:dyDescent="0.25">
      <c r="A25">
        <f t="shared" si="4"/>
        <v>220</v>
      </c>
      <c r="B25" s="8">
        <f>RADIANS(A25-Tool!$G$5+180)</f>
        <v>6.1959188445798699</v>
      </c>
      <c r="C25" s="8">
        <f>RADIANS(A25-Tool!$G$9+180)</f>
        <v>5.4105206811824216</v>
      </c>
      <c r="D25" s="8">
        <f>RADIANS(A25-Tool!$G$11+180)</f>
        <v>6.9813170079773181</v>
      </c>
      <c r="E25" s="8">
        <f>RADIANS(A25-Tool!$G$13)</f>
        <v>0.87266462599716477</v>
      </c>
      <c r="F25" s="8">
        <f>RADIANS(A25-Tool!$G$15)</f>
        <v>2.2689280275926285</v>
      </c>
      <c r="G25" s="8">
        <f>RADIANS(A25-Tool!$G$19)</f>
        <v>3.839724354387525</v>
      </c>
      <c r="H25" s="13">
        <f t="shared" si="0"/>
        <v>0.83562389259250092</v>
      </c>
      <c r="I25" s="13">
        <f t="shared" si="1"/>
        <v>-0.12310096912652599</v>
      </c>
      <c r="J25" s="14">
        <f>0.5*0.00125*(Tool!$G$10*0.5144)^2*Tool!$W$9*(I25*Tool!$W$6-H25*Tool!$W$10)</f>
        <v>-18152.747298411246</v>
      </c>
      <c r="K25" s="11">
        <f>MAX(1,(-0.8/3*Tool!$W$11/Tool!$W$8+2.6))*(0.3*SIN(E25)*ABS(SIN(E25))+0.28*SIN(E25))</f>
        <v>0.39053967072335338</v>
      </c>
      <c r="L25" s="11">
        <f t="shared" si="2"/>
        <v>-8.3708659006037689E-2</v>
      </c>
      <c r="M25" s="12">
        <f>0.5*1.025*(Tool!$G$12*0.5144)^2*Tool!$W$6*Tool!$W$8*(L25*Tool!$W$6-K25*Tool!$W$10)</f>
        <v>-43924.234946208831</v>
      </c>
      <c r="N25" s="19">
        <f>9.81*(Tool!$G$14*COS(F25)*(-Tool!$G$17)+Tool!$G$14*SIN(F25)*(Tool!$G$16-Tool!$W$10))</f>
        <v>0</v>
      </c>
      <c r="O25" s="19">
        <f>9.81*(Tool!$G$18*COS(G25)*(-Tool!$G$21)+Tool!$G$18*SIN(G25)*(Tool!$G$20-Tool!$W$10))</f>
        <v>0</v>
      </c>
      <c r="P25" s="19">
        <f>-Tool!$W$10*5*Tool!$W$6*$P$2*SIN(B25)*SQRT(ABS(SIN(B25)))</f>
        <v>1302.5939259754005</v>
      </c>
      <c r="Q25" s="19">
        <f>-Tool!$W$10*5*Tool!$W$6*$Q$2*SIN(C25)*SQRT(ABS(SIN(C25)))</f>
        <v>15085.630563444705</v>
      </c>
      <c r="R25" s="17">
        <f t="shared" si="5"/>
        <v>-45688.758000000002</v>
      </c>
      <c r="S25" s="17">
        <f t="shared" si="6"/>
        <v>-1242.5864000000001</v>
      </c>
      <c r="T25" s="16" t="str">
        <f t="shared" si="3"/>
        <v/>
      </c>
      <c r="U25" s="10" t="s">
        <v>163</v>
      </c>
      <c r="V25" s="12">
        <f ca="1">SQRT(V24*8*Tool!W11/(Tool!G31/1000)-4*Tool!W11)</f>
        <v>1434.4733576474232</v>
      </c>
      <c r="W25" s="10" t="s">
        <v>237</v>
      </c>
      <c r="X25" s="10"/>
      <c r="Y25" s="15"/>
    </row>
    <row r="26" spans="1:25" x14ac:dyDescent="0.25">
      <c r="A26">
        <f t="shared" si="4"/>
        <v>230</v>
      </c>
      <c r="B26" s="8">
        <f>RADIANS(A26-Tool!$G$5+180)</f>
        <v>6.3704517697793026</v>
      </c>
      <c r="C26" s="8">
        <f>RADIANS(A26-Tool!$G$9+180)</f>
        <v>5.5850536063818543</v>
      </c>
      <c r="D26" s="8">
        <f>RADIANS(A26-Tool!$G$11+180)</f>
        <v>7.1558499331767509</v>
      </c>
      <c r="E26" s="8">
        <f>RADIANS(A26-Tool!$G$13)</f>
        <v>1.0471975511965976</v>
      </c>
      <c r="F26" s="8">
        <f>RADIANS(A26-Tool!$G$15)</f>
        <v>2.4434609527920612</v>
      </c>
      <c r="G26" s="8">
        <f>RADIANS(A26-Tool!$G$19)</f>
        <v>4.0142572795869578</v>
      </c>
      <c r="H26" s="13">
        <f t="shared" si="0"/>
        <v>0.99585777605467118</v>
      </c>
      <c r="I26" s="13">
        <f t="shared" si="1"/>
        <v>-0.12310096912652602</v>
      </c>
      <c r="J26" s="14">
        <f>0.5*0.00125*(Tool!$G$10*0.5144)^2*Tool!$W$9*(I26*Tool!$W$6-H26*Tool!$W$10)</f>
        <v>-20696.691191539605</v>
      </c>
      <c r="K26" s="11">
        <f>MAX(1,(-0.8/3*Tool!$W$11/Tool!$W$8+2.6))*(0.3*SIN(E26)*ABS(SIN(E26))+0.28*SIN(E26))</f>
        <v>0.4674871130596428</v>
      </c>
      <c r="L26" s="11">
        <f t="shared" si="2"/>
        <v>-7.3612159321677292E-2</v>
      </c>
      <c r="M26" s="12">
        <f>0.5*1.025*(Tool!$G$12*0.5144)^2*Tool!$W$6*Tool!$W$8*(L26*Tool!$W$6-K26*Tool!$W$10)</f>
        <v>-47710.683961015093</v>
      </c>
      <c r="N26" s="19">
        <f>9.81*(Tool!$G$14*COS(F26)*(-Tool!$G$17)+Tool!$G$14*SIN(F26)*(Tool!$G$16-Tool!$W$10))</f>
        <v>0</v>
      </c>
      <c r="O26" s="19">
        <f>9.81*(Tool!$G$18*COS(G26)*(-Tool!$G$21)+Tool!$G$18*SIN(G26)*(Tool!$G$20-Tool!$W$10))</f>
        <v>0</v>
      </c>
      <c r="P26" s="19">
        <f>-Tool!$W$10*5*Tool!$W$6*$P$2*SIN(B26)*SQRT(ABS(SIN(B26)))</f>
        <v>-1302.5939259753898</v>
      </c>
      <c r="Q26" s="19">
        <f>-Tool!$W$10*5*Tool!$W$6*$Q$2*SIN(C26)*SQRT(ABS(SIN(C26)))</f>
        <v>11595.347359453706</v>
      </c>
      <c r="R26" s="17">
        <f t="shared" si="5"/>
        <v>-58114.622000000003</v>
      </c>
      <c r="S26" s="17">
        <f t="shared" si="6"/>
        <v>-1143.6910999999993</v>
      </c>
      <c r="T26" s="16" t="str">
        <f t="shared" si="3"/>
        <v/>
      </c>
      <c r="U26" s="10" t="s">
        <v>162</v>
      </c>
      <c r="V26" s="27">
        <f ca="1">SQRT((V23/Tool!G26/COS(Tool!G27/2*PI()/180))^2+(Tool!G31/1000*V25/2)^2)</f>
        <v>530.76988191467842</v>
      </c>
      <c r="W26" s="10" t="s">
        <v>238</v>
      </c>
      <c r="X26" s="10"/>
      <c r="Y26" s="15"/>
    </row>
    <row r="27" spans="1:25" x14ac:dyDescent="0.25">
      <c r="A27">
        <f t="shared" si="4"/>
        <v>240</v>
      </c>
      <c r="B27" s="8">
        <f>RADIANS(A27-Tool!$G$5+180)</f>
        <v>6.5449846949787354</v>
      </c>
      <c r="C27" s="8">
        <f>RADIANS(A27-Tool!$G$9+180)</f>
        <v>5.7595865315812871</v>
      </c>
      <c r="D27" s="8">
        <f>RADIANS(A27-Tool!$G$11+180)</f>
        <v>7.3303828583761845</v>
      </c>
      <c r="E27" s="8">
        <f>RADIANS(A27-Tool!$G$13)</f>
        <v>1.2217304763960306</v>
      </c>
      <c r="F27" s="8">
        <f>RADIANS(A27-Tool!$G$15)</f>
        <v>2.6179938779914944</v>
      </c>
      <c r="G27" s="8">
        <f>RADIANS(A27-Tool!$G$19)</f>
        <v>4.1887902047863905</v>
      </c>
      <c r="H27" s="13">
        <f t="shared" si="0"/>
        <v>1.1258330249197706</v>
      </c>
      <c r="I27" s="13">
        <f t="shared" si="1"/>
        <v>-0.1082531754730548</v>
      </c>
      <c r="J27" s="14">
        <f>0.5*0.00125*(Tool!$G$10*0.5144)^2*Tool!$W$9*(I27*Tool!$W$6-H27*Tool!$W$10)</f>
        <v>-22170.910317521353</v>
      </c>
      <c r="K27" s="11">
        <f>MAX(1,(-0.8/3*Tool!$W$11/Tool!$W$8+2.6))*(0.3*SIN(E27)*ABS(SIN(E27))+0.28*SIN(E27))</f>
        <v>0.5280206002879011</v>
      </c>
      <c r="L27" s="11">
        <f t="shared" si="2"/>
        <v>-5.4636946823355854E-2</v>
      </c>
      <c r="M27" s="12">
        <f>0.5*1.025*(Tool!$G$12*0.5144)^2*Tool!$W$6*Tool!$W$8*(L27*Tool!$W$6-K27*Tool!$W$10)</f>
        <v>-48669.665340343468</v>
      </c>
      <c r="N27" s="19">
        <f>9.81*(Tool!$G$14*COS(F27)*(-Tool!$G$17)+Tool!$G$14*SIN(F27)*(Tool!$G$16-Tool!$W$10))</f>
        <v>0</v>
      </c>
      <c r="O27" s="19">
        <f>9.81*(Tool!$G$18*COS(G27)*(-Tool!$G$21)+Tool!$G$18*SIN(G27)*(Tool!$G$20-Tool!$W$10))</f>
        <v>0</v>
      </c>
      <c r="P27" s="19">
        <f>-Tool!$W$10*5*Tool!$W$6*$P$2*SIN(B27)*SQRT(ABS(SIN(B27)))</f>
        <v>-6665.9090231036344</v>
      </c>
      <c r="Q27" s="19">
        <f>-Tool!$W$10*5*Tool!$W$6*$Q$2*SIN(C27)*SQRT(ABS(SIN(C27)))</f>
        <v>7954.9512883486696</v>
      </c>
      <c r="R27" s="17">
        <f t="shared" si="5"/>
        <v>-69551.532999999996</v>
      </c>
      <c r="S27" s="17">
        <f t="shared" si="6"/>
        <v>-926.22940000000085</v>
      </c>
      <c r="T27" s="16" t="str">
        <f t="shared" si="3"/>
        <v/>
      </c>
      <c r="U27" s="10" t="s">
        <v>163</v>
      </c>
      <c r="V27" s="12">
        <f ca="1">SQRT(V26*8*Tool!W11/(Tool!G31/1000)-4*Tool!W11)</f>
        <v>1456.9418408634963</v>
      </c>
      <c r="W27" s="10" t="s">
        <v>239</v>
      </c>
      <c r="X27" s="10"/>
      <c r="Y27" s="15"/>
    </row>
    <row r="28" spans="1:25" x14ac:dyDescent="0.25">
      <c r="A28">
        <f t="shared" si="4"/>
        <v>250</v>
      </c>
      <c r="B28" s="8">
        <f>RADIANS(A28-Tool!$G$5+180)</f>
        <v>6.719517620178169</v>
      </c>
      <c r="C28" s="8">
        <f>RADIANS(A28-Tool!$G$9+180)</f>
        <v>5.9341194567807207</v>
      </c>
      <c r="D28" s="8">
        <f>RADIANS(A28-Tool!$G$11+180)</f>
        <v>7.5049157835756173</v>
      </c>
      <c r="E28" s="8">
        <f>RADIANS(A28-Tool!$G$13)</f>
        <v>1.3962634015954636</v>
      </c>
      <c r="F28" s="8">
        <f>RADIANS(A28-Tool!$G$15)</f>
        <v>2.7925268031909272</v>
      </c>
      <c r="G28" s="8">
        <f>RADIANS(A28-Tool!$G$19)</f>
        <v>4.3633231299858242</v>
      </c>
      <c r="H28" s="13">
        <f t="shared" si="0"/>
        <v>1.221600407021681</v>
      </c>
      <c r="I28" s="13">
        <f t="shared" si="1"/>
        <v>-8.0348451210817406E-2</v>
      </c>
      <c r="J28" s="14">
        <f>0.5*0.00125*(Tool!$G$10*0.5144)^2*Tool!$W$9*(I28*Tool!$W$6-H28*Tool!$W$10)</f>
        <v>-22583.786253863429</v>
      </c>
      <c r="K28" s="11">
        <f>MAX(1,(-0.8/3*Tool!$W$11/Tool!$W$8+2.6))*(0.3*SIN(E28)*ABS(SIN(E28))+0.28*SIN(E28))</f>
        <v>0.56670006396130446</v>
      </c>
      <c r="L28" s="11">
        <f t="shared" si="2"/>
        <v>-2.9071712182681852E-2</v>
      </c>
      <c r="M28" s="12">
        <f>0.5*1.025*(Tool!$G$12*0.5144)^2*Tool!$W$6*Tool!$W$8*(L28*Tool!$W$6-K28*Tool!$W$10)</f>
        <v>-46821.804941008239</v>
      </c>
      <c r="N28" s="19">
        <f>9.81*(Tool!$G$14*COS(F28)*(-Tool!$G$17)+Tool!$G$14*SIN(F28)*(Tool!$G$16-Tool!$W$10))</f>
        <v>0</v>
      </c>
      <c r="O28" s="19">
        <f>9.81*(Tool!$G$18*COS(G28)*(-Tool!$G$21)+Tool!$G$18*SIN(G28)*(Tool!$G$20-Tool!$W$10))</f>
        <v>0</v>
      </c>
      <c r="P28" s="19">
        <f>-Tool!$W$10*5*Tool!$W$6*$P$2*SIN(B28)*SQRT(ABS(SIN(B28)))</f>
        <v>-13908.728359068929</v>
      </c>
      <c r="Q28" s="19">
        <f>-Tool!$W$10*5*Tool!$W$6*$Q$2*SIN(C28)*SQRT(ABS(SIN(C28)))</f>
        <v>4500.4925288791237</v>
      </c>
      <c r="R28" s="17">
        <f t="shared" si="5"/>
        <v>-78813.827000000005</v>
      </c>
      <c r="S28" s="17">
        <f t="shared" si="6"/>
        <v>-604.55629999999951</v>
      </c>
      <c r="T28" s="16" t="str">
        <f t="shared" si="3"/>
        <v/>
      </c>
      <c r="U28" s="10" t="s">
        <v>162</v>
      </c>
      <c r="V28" s="27">
        <f ca="1">SQRT((V23/Tool!G26/COS(Tool!G27/2*PI()/180))^2+(Tool!G31/1000*V27/2)^2)</f>
        <v>531.38152460008064</v>
      </c>
      <c r="W28" s="10" t="s">
        <v>240</v>
      </c>
      <c r="X28" s="10"/>
      <c r="Y28" s="15"/>
    </row>
    <row r="29" spans="1:25" x14ac:dyDescent="0.25">
      <c r="A29">
        <f t="shared" si="4"/>
        <v>260</v>
      </c>
      <c r="B29" s="8">
        <f>RADIANS(A29-Tool!$G$5+180)</f>
        <v>6.8940505453776018</v>
      </c>
      <c r="C29" s="8">
        <f>RADIANS(A29-Tool!$G$9+180)</f>
        <v>6.1086523819801535</v>
      </c>
      <c r="D29" s="8">
        <f>RADIANS(A29-Tool!$G$11+180)</f>
        <v>7.67944870877505</v>
      </c>
      <c r="E29" s="8">
        <f>RADIANS(A29-Tool!$G$13)</f>
        <v>1.5707963267948966</v>
      </c>
      <c r="F29" s="8">
        <f>RADIANS(A29-Tool!$G$15)</f>
        <v>2.9670597283903604</v>
      </c>
      <c r="G29" s="8">
        <f>RADIANS(A29-Tool!$G$19)</f>
        <v>4.5378560551852569</v>
      </c>
      <c r="H29" s="13">
        <f t="shared" si="0"/>
        <v>1.2802500789158704</v>
      </c>
      <c r="I29" s="13">
        <f t="shared" si="1"/>
        <v>-4.275251791570861E-2</v>
      </c>
      <c r="J29" s="14">
        <f>0.5*0.00125*(Tool!$G$10*0.5144)^2*Tool!$W$9*(I29*Tool!$W$6-H29*Tool!$W$10)</f>
        <v>-22022.710246157461</v>
      </c>
      <c r="K29" s="11">
        <f>MAX(1,(-0.8/3*Tool!$W$11/Tool!$W$8+2.6))*(0.3*SIN(E29)*ABS(SIN(E29))+0.28*SIN(E29))</f>
        <v>0.58000000000000007</v>
      </c>
      <c r="L29" s="11">
        <f t="shared" si="2"/>
        <v>-1.0413761866723271E-17</v>
      </c>
      <c r="M29" s="12">
        <f>0.5*1.025*(Tool!$G$12*0.5144)^2*Tool!$W$6*Tool!$W$8*(L29*Tool!$W$6-K29*Tool!$W$10)</f>
        <v>-42473.450390399994</v>
      </c>
      <c r="N29" s="19">
        <f>9.81*(Tool!$G$14*COS(F29)*(-Tool!$G$17)+Tool!$G$14*SIN(F29)*(Tool!$G$16-Tool!$W$10))</f>
        <v>0</v>
      </c>
      <c r="O29" s="19">
        <f>9.81*(Tool!$G$18*COS(G29)*(-Tool!$G$21)+Tool!$G$18*SIN(G29)*(Tool!$G$20-Tool!$W$10))</f>
        <v>0</v>
      </c>
      <c r="P29" s="19">
        <f>-Tool!$W$10*5*Tool!$W$6*$P$2*SIN(B29)*SQRT(ABS(SIN(B29)))</f>
        <v>-21991.354947418447</v>
      </c>
      <c r="Q29" s="19">
        <f>-Tool!$W$10*5*Tool!$W$6*$Q$2*SIN(C29)*SQRT(ABS(SIN(C29)))</f>
        <v>1628.1254429289588</v>
      </c>
      <c r="R29" s="17">
        <f t="shared" si="5"/>
        <v>-84859.39</v>
      </c>
      <c r="S29" s="17">
        <f t="shared" si="6"/>
        <v>-456.35910000000001</v>
      </c>
      <c r="T29" s="16" t="str">
        <f t="shared" si="3"/>
        <v/>
      </c>
      <c r="U29" s="10" t="s">
        <v>163</v>
      </c>
      <c r="V29" s="12">
        <f ca="1">SQRT(V28*8*Tool!W11/(Tool!G31/1000)-4*Tool!W11)</f>
        <v>1457.7812244641932</v>
      </c>
      <c r="W29" s="10" t="s">
        <v>0</v>
      </c>
      <c r="X29" s="10"/>
      <c r="Y29" s="15"/>
    </row>
    <row r="30" spans="1:25" x14ac:dyDescent="0.25">
      <c r="A30">
        <f t="shared" si="4"/>
        <v>270</v>
      </c>
      <c r="B30" s="8">
        <f>RADIANS(A30-Tool!$G$5+180)</f>
        <v>7.0685834705770345</v>
      </c>
      <c r="C30" s="8">
        <f>RADIANS(A30-Tool!$G$9+180)</f>
        <v>6.2831853071795862</v>
      </c>
      <c r="D30" s="8">
        <f>RADIANS(A30-Tool!$G$11+180)</f>
        <v>7.8539816339744828</v>
      </c>
      <c r="E30" s="8">
        <f>RADIANS(A30-Tool!$G$13)</f>
        <v>1.7453292519943295</v>
      </c>
      <c r="F30" s="8">
        <f>RADIANS(A30-Tool!$G$15)</f>
        <v>3.1415926535897931</v>
      </c>
      <c r="G30" s="8">
        <f>RADIANS(A30-Tool!$G$19)</f>
        <v>4.7123889803846897</v>
      </c>
      <c r="H30" s="13">
        <f t="shared" si="0"/>
        <v>1.3</v>
      </c>
      <c r="I30" s="13">
        <f t="shared" si="1"/>
        <v>-7.6571778431788751E-17</v>
      </c>
      <c r="J30" s="14">
        <f>0.5*0.00125*(Tool!$G$10*0.5144)^2*Tool!$W$9*(I30*Tool!$W$6-H30*Tool!$W$10)</f>
        <v>-20639.374080000005</v>
      </c>
      <c r="K30" s="11">
        <f>MAX(1,(-0.8/3*Tool!$W$11/Tool!$W$8+2.6))*(0.3*SIN(E30)*ABS(SIN(E30))+0.28*SIN(E30))</f>
        <v>0.56670006396130446</v>
      </c>
      <c r="L30" s="11">
        <f t="shared" si="2"/>
        <v>1.5390906449655087E-2</v>
      </c>
      <c r="M30" s="12">
        <f>0.5*1.025*(Tool!$G$12*0.5144)^2*Tool!$W$6*Tool!$W$8*(L30*Tool!$W$6-K30*Tool!$W$10)</f>
        <v>-38681.801377612384</v>
      </c>
      <c r="N30" s="19">
        <f>9.81*(Tool!$G$14*COS(F30)*(-Tool!$G$17)+Tool!$G$14*SIN(F30)*(Tool!$G$16-Tool!$W$10))</f>
        <v>0</v>
      </c>
      <c r="O30" s="19">
        <f>9.81*(Tool!$G$18*COS(G30)*(-Tool!$G$21)+Tool!$G$18*SIN(G30)*(Tool!$G$20-Tool!$W$10))</f>
        <v>0</v>
      </c>
      <c r="P30" s="19">
        <f>-Tool!$W$10*5*Tool!$W$6*$P$2*SIN(B30)*SQRT(ABS(SIN(B30)))</f>
        <v>-30101.805098506364</v>
      </c>
      <c r="Q30" s="19">
        <f>-Tool!$W$10*5*Tool!$W$6*$Q$2*SIN(C30)*SQRT(ABS(SIN(C30)))</f>
        <v>8.629995844334569E-20</v>
      </c>
      <c r="R30" s="17">
        <f t="shared" si="5"/>
        <v>-89422.981</v>
      </c>
      <c r="S30" s="17">
        <f t="shared" si="6"/>
        <v>-173.84020000000018</v>
      </c>
      <c r="T30" s="16" t="str">
        <f t="shared" si="3"/>
        <v/>
      </c>
      <c r="U30" s="15" t="s">
        <v>162</v>
      </c>
      <c r="V30" s="25">
        <f ca="1">MAX(V24,(Tool!G30^2*(Tool!G31/1000))/(8*Tool!W11)+Tool!W11*Tool!G31/2000)</f>
        <v>514.52845345006813</v>
      </c>
      <c r="W30" s="15" t="s">
        <v>222</v>
      </c>
      <c r="X30" s="15"/>
      <c r="Y30" s="15"/>
    </row>
    <row r="31" spans="1:25" x14ac:dyDescent="0.25">
      <c r="A31">
        <f t="shared" si="4"/>
        <v>280</v>
      </c>
      <c r="B31" s="8">
        <f>RADIANS(A31-Tool!$G$5+180)</f>
        <v>7.2431163957764673</v>
      </c>
      <c r="C31" s="8">
        <f>RADIANS(A31-Tool!$G$9+180)</f>
        <v>6.457718232379019</v>
      </c>
      <c r="D31" s="8">
        <f>RADIANS(A31-Tool!$G$11+180)</f>
        <v>8.0285145591739155</v>
      </c>
      <c r="E31" s="8">
        <f>RADIANS(A31-Tool!$G$13)</f>
        <v>1.9198621771937625</v>
      </c>
      <c r="F31" s="8">
        <f>RADIANS(A31-Tool!$G$15)</f>
        <v>3.3161255787892263</v>
      </c>
      <c r="G31" s="8">
        <f>RADIANS(A31-Tool!$G$19)</f>
        <v>4.8869219055841224</v>
      </c>
      <c r="H31" s="13">
        <f t="shared" si="0"/>
        <v>1.2802500789158706</v>
      </c>
      <c r="I31" s="13">
        <f t="shared" si="1"/>
        <v>4.2752517915708471E-2</v>
      </c>
      <c r="J31" s="14">
        <f>0.5*0.00125*(Tool!$G$10*0.5144)^2*Tool!$W$9*(I31*Tool!$W$6-H31*Tool!$W$10)</f>
        <v>-18628.920976448964</v>
      </c>
      <c r="K31" s="11">
        <f>MAX(1,(-0.8/3*Tool!$W$11/Tool!$W$8+2.6))*(0.3*SIN(E31)*ABS(SIN(E31))+0.28*SIN(E31))</f>
        <v>0.5280206002879011</v>
      </c>
      <c r="L31" s="11">
        <f t="shared" si="2"/>
        <v>2.8925442435894275E-2</v>
      </c>
      <c r="M31" s="12">
        <f>0.5*1.025*(Tool!$G$12*0.5144)^2*Tool!$W$6*Tool!$W$8*(L31*Tool!$W$6-K31*Tool!$W$10)</f>
        <v>-33371.462776955304</v>
      </c>
      <c r="N31" s="19">
        <f>9.81*(Tool!$G$14*COS(F31)*(-Tool!$G$17)+Tool!$G$14*SIN(F31)*(Tool!$G$16-Tool!$W$10))</f>
        <v>0</v>
      </c>
      <c r="O31" s="19">
        <f>9.81*(Tool!$G$18*COS(G31)*(-Tool!$G$21)+Tool!$G$18*SIN(G31)*(Tool!$G$20-Tool!$W$10))</f>
        <v>0</v>
      </c>
      <c r="P31" s="19">
        <f>-Tool!$W$10*5*Tool!$W$6*$P$2*SIN(B31)*SQRT(ABS(SIN(B31)))</f>
        <v>-37532.873524447925</v>
      </c>
      <c r="Q31" s="19">
        <f>-Tool!$W$10*5*Tool!$W$6*$Q$2*SIN(C31)*SQRT(ABS(SIN(C31)))</f>
        <v>-1628.1254429289522</v>
      </c>
      <c r="R31" s="17">
        <f t="shared" si="5"/>
        <v>-91161.383000000002</v>
      </c>
      <c r="S31" s="17">
        <f t="shared" si="6"/>
        <v>-32.372499999999128</v>
      </c>
      <c r="T31" s="16" t="str">
        <f t="shared" si="3"/>
        <v/>
      </c>
      <c r="U31" s="15" t="s">
        <v>145</v>
      </c>
      <c r="V31" s="16">
        <f ca="1">SQRT(V30^2-((Tool!G31/1000)*Tool!G30/2)^2)*COS(Tool!G27/2*PI()/180)*Tool!G26</f>
        <v>511.01813021625657</v>
      </c>
      <c r="W31" s="15" t="s">
        <v>223</v>
      </c>
      <c r="X31" s="15"/>
      <c r="Y31" s="15"/>
    </row>
    <row r="32" spans="1:25" x14ac:dyDescent="0.25">
      <c r="A32">
        <f t="shared" si="4"/>
        <v>290</v>
      </c>
      <c r="B32" s="8">
        <f>RADIANS(A32-Tool!$G$5+180)</f>
        <v>7.4176493209759009</v>
      </c>
      <c r="C32" s="8">
        <f>RADIANS(A32-Tool!$G$9+180)</f>
        <v>6.6322511575784526</v>
      </c>
      <c r="D32" s="8">
        <f>RADIANS(A32-Tool!$G$11+180)</f>
        <v>8.2030474843733483</v>
      </c>
      <c r="E32" s="8">
        <f>RADIANS(A32-Tool!$G$13)</f>
        <v>2.0943951023931953</v>
      </c>
      <c r="F32" s="8">
        <f>RADIANS(A32-Tool!$G$15)</f>
        <v>3.4906585039886591</v>
      </c>
      <c r="G32" s="8">
        <f>RADIANS(A32-Tool!$G$19)</f>
        <v>5.0614548307835561</v>
      </c>
      <c r="H32" s="13">
        <f t="shared" si="0"/>
        <v>1.2216004070216813</v>
      </c>
      <c r="I32" s="13">
        <f t="shared" si="1"/>
        <v>8.0348451210817282E-2</v>
      </c>
      <c r="J32" s="14">
        <f>0.5*0.00125*(Tool!$G$10*0.5144)^2*Tool!$W$9*(I32*Tool!$W$6-H32*Tool!$W$10)</f>
        <v>-16205.548787368478</v>
      </c>
      <c r="K32" s="11">
        <f>MAX(1,(-0.8/3*Tool!$W$11/Tool!$W$8+2.6))*(0.3*SIN(E32)*ABS(SIN(E32))+0.28*SIN(E32))</f>
        <v>0.46748711305964286</v>
      </c>
      <c r="L32" s="11">
        <f t="shared" si="2"/>
        <v>3.8971143170299725E-2</v>
      </c>
      <c r="M32" s="12">
        <f>0.5*1.025*(Tool!$G$12*0.5144)^2*Tool!$W$6*Tool!$W$8*(L32*Tool!$W$6-K32*Tool!$W$10)</f>
        <v>-27099.471404203108</v>
      </c>
      <c r="N32" s="19">
        <f>9.81*(Tool!$G$14*COS(F32)*(-Tool!$G$17)+Tool!$G$14*SIN(F32)*(Tool!$G$16-Tool!$W$10))</f>
        <v>0</v>
      </c>
      <c r="O32" s="19">
        <f>9.81*(Tool!$G$18*COS(G32)*(-Tool!$G$21)+Tool!$G$18*SIN(G32)*(Tool!$G$20-Tool!$W$10))</f>
        <v>0</v>
      </c>
      <c r="P32" s="19">
        <f>-Tool!$W$10*5*Tool!$W$6*$P$2*SIN(B32)*SQRT(ABS(SIN(B32)))</f>
        <v>-43679.595054633013</v>
      </c>
      <c r="Q32" s="19">
        <f>-Tool!$W$10*5*Tool!$W$6*$Q$2*SIN(C32)*SQRT(ABS(SIN(C32)))</f>
        <v>-4500.4925288791301</v>
      </c>
      <c r="R32" s="17">
        <f t="shared" si="5"/>
        <v>-91485.107999999993</v>
      </c>
      <c r="S32" s="17">
        <f t="shared" si="6"/>
        <v>140.693299999999</v>
      </c>
      <c r="T32" s="16" t="str">
        <f t="shared" si="3"/>
        <v/>
      </c>
      <c r="U32" s="15" t="s">
        <v>144</v>
      </c>
      <c r="V32" s="15">
        <f ca="1">-SQRT(ROUND(V31^2-V16^2,0))</f>
        <v>-361.34471076798673</v>
      </c>
      <c r="W32" s="15" t="s">
        <v>223</v>
      </c>
      <c r="X32" s="15"/>
      <c r="Y32" s="15"/>
    </row>
    <row r="33" spans="1:25" x14ac:dyDescent="0.25">
      <c r="A33">
        <f t="shared" si="4"/>
        <v>300</v>
      </c>
      <c r="B33" s="8">
        <f>RADIANS(A33-Tool!$G$5+180)</f>
        <v>7.5921822461753337</v>
      </c>
      <c r="C33" s="8">
        <f>RADIANS(A33-Tool!$G$9+180)</f>
        <v>6.8067840827778854</v>
      </c>
      <c r="D33" s="8">
        <f>RADIANS(A33-Tool!$G$11+180)</f>
        <v>8.3775804095727811</v>
      </c>
      <c r="E33" s="8">
        <f>RADIANS(A33-Tool!$G$13)</f>
        <v>2.2689280275926285</v>
      </c>
      <c r="F33" s="8">
        <f>RADIANS(A33-Tool!$G$15)</f>
        <v>3.6651914291880923</v>
      </c>
      <c r="G33" s="8">
        <f>RADIANS(A33-Tool!$G$19)</f>
        <v>5.2359877559829888</v>
      </c>
      <c r="H33" s="13">
        <f t="shared" si="0"/>
        <v>1.125833024919771</v>
      </c>
      <c r="I33" s="13">
        <f t="shared" si="1"/>
        <v>0.10825317547305473</v>
      </c>
      <c r="J33" s="14">
        <f>0.5*0.00125*(Tool!$G$10*0.5144)^2*Tool!$W$9*(I33*Tool!$W$6-H33*Tool!$W$10)</f>
        <v>-13577.534225458825</v>
      </c>
      <c r="K33" s="11">
        <f>MAX(1,(-0.8/3*Tool!$W$11/Tool!$W$8+2.6))*(0.3*SIN(E33)*ABS(SIN(E33))+0.28*SIN(E33))</f>
        <v>0.39053967072335338</v>
      </c>
      <c r="L33" s="11">
        <f t="shared" si="2"/>
        <v>4.4316348885549361E-2</v>
      </c>
      <c r="M33" s="12">
        <f>0.5*1.025*(Tool!$G$12*0.5144)^2*Tool!$W$6*Tool!$W$8*(L33*Tool!$W$6-K33*Tool!$W$10)</f>
        <v>-20486.028819424828</v>
      </c>
      <c r="N33" s="19">
        <f>9.81*(Tool!$G$14*COS(F33)*(-Tool!$G$17)+Tool!$G$14*SIN(F33)*(Tool!$G$16-Tool!$W$10))</f>
        <v>0</v>
      </c>
      <c r="O33" s="19">
        <f>9.81*(Tool!$G$18*COS(G33)*(-Tool!$G$21)+Tool!$G$18*SIN(G33)*(Tool!$G$20-Tool!$W$10))</f>
        <v>0</v>
      </c>
      <c r="P33" s="19">
        <f>-Tool!$W$10*5*Tool!$W$6*$P$2*SIN(B33)*SQRT(ABS(SIN(B33)))</f>
        <v>-48059.661032673292</v>
      </c>
      <c r="Q33" s="19">
        <f>-Tool!$W$10*5*Tool!$W$6*$Q$2*SIN(C33)*SQRT(ABS(SIN(C33)))</f>
        <v>-7954.9512883486605</v>
      </c>
      <c r="R33" s="17">
        <f t="shared" si="5"/>
        <v>-90078.175000000003</v>
      </c>
      <c r="S33" s="17">
        <f t="shared" si="6"/>
        <v>307.80160000000035</v>
      </c>
      <c r="T33" s="16" t="str">
        <f t="shared" si="3"/>
        <v/>
      </c>
      <c r="U33" s="15" t="s">
        <v>146</v>
      </c>
      <c r="V33" s="25">
        <f ca="1">MOD((ATAN2(V32,V16))*180/PI(),360)</f>
        <v>135.0000258126496</v>
      </c>
      <c r="W33" s="15" t="s">
        <v>225</v>
      </c>
      <c r="X33" s="15"/>
      <c r="Y33" s="15"/>
    </row>
    <row r="34" spans="1:25" x14ac:dyDescent="0.25">
      <c r="A34">
        <f t="shared" si="4"/>
        <v>310</v>
      </c>
      <c r="B34" s="8">
        <f>RADIANS(A34-Tool!$G$5+180)</f>
        <v>7.7667151713747664</v>
      </c>
      <c r="C34" s="8">
        <f>RADIANS(A34-Tool!$G$9+180)</f>
        <v>6.9813170079773181</v>
      </c>
      <c r="D34" s="8">
        <f>RADIANS(A34-Tool!$G$11+180)</f>
        <v>8.5521133347722156</v>
      </c>
      <c r="E34" s="8">
        <f>RADIANS(A34-Tool!$G$13)</f>
        <v>2.4434609527920612</v>
      </c>
      <c r="F34" s="8">
        <f>RADIANS(A34-Tool!$G$15)</f>
        <v>3.839724354387525</v>
      </c>
      <c r="G34" s="8">
        <f>RADIANS(A34-Tool!$G$19)</f>
        <v>5.4105206811824216</v>
      </c>
      <c r="H34" s="13">
        <f t="shared" si="0"/>
        <v>0.99585777605467085</v>
      </c>
      <c r="I34" s="13">
        <f t="shared" si="1"/>
        <v>0.12310096912652603</v>
      </c>
      <c r="J34" s="14">
        <f>0.5*0.00125*(Tool!$G$10*0.5144)^2*Tool!$W$9*(I34*Tool!$W$6-H34*Tool!$W$10)</f>
        <v>-10924.664455336129</v>
      </c>
      <c r="K34" s="11">
        <f>MAX(1,(-0.8/3*Tool!$W$11/Tool!$W$8+2.6))*(0.3*SIN(E34)*ABS(SIN(E34))+0.28*SIN(E34))</f>
        <v>0.30393330406219154</v>
      </c>
      <c r="L34" s="11">
        <f t="shared" si="2"/>
        <v>4.4316348885549375E-2</v>
      </c>
      <c r="M34" s="12">
        <f>0.5*1.025*(Tool!$G$12*0.5144)^2*Tool!$W$6*Tool!$W$8*(L34*Tool!$W$6-K34*Tool!$W$10)</f>
        <v>-14143.837064466812</v>
      </c>
      <c r="N34" s="19">
        <f>9.81*(Tool!$G$14*COS(F34)*(-Tool!$G$17)+Tool!$G$14*SIN(F34)*(Tool!$G$16-Tool!$W$10))</f>
        <v>0</v>
      </c>
      <c r="O34" s="19">
        <f>9.81*(Tool!$G$18*COS(G34)*(-Tool!$G$21)+Tool!$G$18*SIN(G34)*(Tool!$G$20-Tool!$W$10))</f>
        <v>0</v>
      </c>
      <c r="P34" s="19">
        <f>-Tool!$W$10*5*Tool!$W$6*$P$2*SIN(B34)*SQRT(ABS(SIN(B34)))</f>
        <v>-50336.309960811966</v>
      </c>
      <c r="Q34" s="19">
        <f>-Tool!$W$10*5*Tool!$W$6*$Q$2*SIN(C34)*SQRT(ABS(SIN(C34)))</f>
        <v>-11595.347359453694</v>
      </c>
      <c r="R34" s="17">
        <f t="shared" si="5"/>
        <v>-87000.159</v>
      </c>
      <c r="S34" s="17">
        <f t="shared" si="6"/>
        <v>458.76799999999929</v>
      </c>
      <c r="T34" s="16" t="str">
        <f t="shared" si="3"/>
        <v/>
      </c>
      <c r="U34" s="15"/>
      <c r="V34" s="15"/>
      <c r="W34" s="15"/>
      <c r="X34" s="15"/>
      <c r="Y34" s="15"/>
    </row>
    <row r="35" spans="1:25" x14ac:dyDescent="0.25">
      <c r="A35">
        <f t="shared" si="4"/>
        <v>320</v>
      </c>
      <c r="B35" s="8">
        <f>RADIANS(A35-Tool!$G$5+180)</f>
        <v>7.9412480965741992</v>
      </c>
      <c r="C35" s="8">
        <f>RADIANS(A35-Tool!$G$9+180)</f>
        <v>7.1558499331767509</v>
      </c>
      <c r="D35" s="8">
        <f>RADIANS(A35-Tool!$G$11+180)</f>
        <v>8.7266462599716483</v>
      </c>
      <c r="E35" s="8">
        <f>RADIANS(A35-Tool!$G$13)</f>
        <v>2.6179938779914944</v>
      </c>
      <c r="F35" s="8">
        <f>RADIANS(A35-Tool!$G$15)</f>
        <v>4.0142572795869578</v>
      </c>
      <c r="G35" s="8">
        <f>RADIANS(A35-Tool!$G$19)</f>
        <v>5.5850536063818543</v>
      </c>
      <c r="H35" s="13">
        <f t="shared" si="0"/>
        <v>0.83562389259250081</v>
      </c>
      <c r="I35" s="13">
        <f t="shared" si="1"/>
        <v>0.123100969126526</v>
      </c>
      <c r="J35" s="14">
        <f>0.5*0.00125*(Tool!$G$10*0.5144)^2*Tool!$W$9*(I35*Tool!$W$6-H35*Tool!$W$10)</f>
        <v>-8380.7205622077799</v>
      </c>
      <c r="K35" s="11">
        <f>MAX(1,(-0.8/3*Tool!$W$11/Tool!$W$8+2.6))*(0.3*SIN(E35)*ABS(SIN(E35))+0.28*SIN(E35))</f>
        <v>0.21499999999999997</v>
      </c>
      <c r="L35" s="11">
        <f t="shared" si="2"/>
        <v>3.8971143170299746E-2</v>
      </c>
      <c r="M35" s="12">
        <f>0.5*1.025*(Tool!$G$12*0.5144)^2*Tool!$W$6*Tool!$W$8*(L35*Tool!$W$6-K35*Tool!$W$10)</f>
        <v>-8609.8181787650738</v>
      </c>
      <c r="N35" s="19">
        <f>9.81*(Tool!$G$14*COS(F35)*(-Tool!$G$17)+Tool!$G$14*SIN(F35)*(Tool!$G$16-Tool!$W$10))</f>
        <v>0</v>
      </c>
      <c r="O35" s="19">
        <f>9.81*(Tool!$G$18*COS(G35)*(-Tool!$G$21)+Tool!$G$18*SIN(G35)*(Tool!$G$20-Tool!$W$10))</f>
        <v>0</v>
      </c>
      <c r="P35" s="19">
        <f>-Tool!$W$10*5*Tool!$W$6*$P$2*SIN(B35)*SQRT(ABS(SIN(B35)))</f>
        <v>-50336.309960811966</v>
      </c>
      <c r="Q35" s="19">
        <f>-Tool!$W$10*5*Tool!$W$6*$Q$2*SIN(C35)*SQRT(ABS(SIN(C35)))</f>
        <v>-15085.630563444696</v>
      </c>
      <c r="R35" s="17">
        <f t="shared" si="5"/>
        <v>-82412.479000000007</v>
      </c>
      <c r="S35" s="17">
        <f t="shared" si="6"/>
        <v>590.91690000000085</v>
      </c>
      <c r="T35" s="16" t="str">
        <f t="shared" si="3"/>
        <v/>
      </c>
      <c r="U35" s="15" t="s">
        <v>164</v>
      </c>
      <c r="V35" s="15">
        <f ca="1">IF(Tool!G26=2,0.5*V31/COS(Tool!G27/2*PI()/180),V31)</f>
        <v>511.01813021625657</v>
      </c>
      <c r="W35" s="15"/>
      <c r="X35" s="15"/>
      <c r="Y35" s="15"/>
    </row>
    <row r="36" spans="1:25" x14ac:dyDescent="0.25">
      <c r="A36">
        <f t="shared" si="4"/>
        <v>330</v>
      </c>
      <c r="B36" s="8">
        <f>RADIANS(A36-Tool!$G$5+180)</f>
        <v>8.1157810217736319</v>
      </c>
      <c r="C36" s="8">
        <f>RADIANS(A36-Tool!$G$9+180)</f>
        <v>7.3303828583761845</v>
      </c>
      <c r="D36" s="8">
        <f>RADIANS(A36-Tool!$G$11+180)</f>
        <v>8.9011791851710811</v>
      </c>
      <c r="E36" s="8">
        <f>RADIANS(A36-Tool!$G$13)</f>
        <v>2.7925268031909272</v>
      </c>
      <c r="F36" s="8">
        <f>RADIANS(A36-Tool!$G$15)</f>
        <v>4.1887902047863905</v>
      </c>
      <c r="G36" s="8">
        <f>RADIANS(A36-Tool!$G$19)</f>
        <v>5.7595865315812871</v>
      </c>
      <c r="H36" s="13">
        <f t="shared" si="0"/>
        <v>0.64999999999999969</v>
      </c>
      <c r="I36" s="13">
        <f t="shared" si="1"/>
        <v>0.10825317547305481</v>
      </c>
      <c r="J36" s="14">
        <f>0.5*0.00125*(Tool!$G$10*0.5144)^2*Tool!$W$9*(I36*Tool!$W$6-H36*Tool!$W$10)</f>
        <v>-6022.9989939687275</v>
      </c>
      <c r="K36" s="11">
        <f>MAX(1,(-0.8/3*Tool!$W$11/Tool!$W$8+2.6))*(0.3*SIN(E36)*ABS(SIN(E36))+0.28*SIN(E36))</f>
        <v>0.13085897366334062</v>
      </c>
      <c r="L36" s="11">
        <f t="shared" si="2"/>
        <v>2.8925442435894282E-2</v>
      </c>
      <c r="M36" s="12">
        <f>0.5*1.025*(Tool!$G$12*0.5144)^2*Tool!$W$6*Tool!$W$8*(L36*Tool!$W$6-K36*Tool!$W$10)</f>
        <v>-4287.2823538366229</v>
      </c>
      <c r="N36" s="19">
        <f>9.81*(Tool!$G$14*COS(F36)*(-Tool!$G$17)+Tool!$G$14*SIN(F36)*(Tool!$G$16-Tool!$W$10))</f>
        <v>0</v>
      </c>
      <c r="O36" s="19">
        <f>9.81*(Tool!$G$18*COS(G36)*(-Tool!$G$21)+Tool!$G$18*SIN(G36)*(Tool!$G$20-Tool!$W$10))</f>
        <v>0</v>
      </c>
      <c r="P36" s="19">
        <f>-Tool!$W$10*5*Tool!$W$6*$P$2*SIN(B36)*SQRT(ABS(SIN(B36)))</f>
        <v>-48059.661032673306</v>
      </c>
      <c r="Q36" s="19">
        <f>-Tool!$W$10*5*Tool!$W$6*$Q$2*SIN(C36)*SQRT(ABS(SIN(C36)))</f>
        <v>-18133.367599522273</v>
      </c>
      <c r="R36" s="17">
        <f t="shared" si="5"/>
        <v>-76503.31</v>
      </c>
      <c r="S36" s="17">
        <f t="shared" si="6"/>
        <v>705.28139999999985</v>
      </c>
      <c r="T36" s="16" t="str">
        <f t="shared" si="3"/>
        <v/>
      </c>
      <c r="U36" s="15" t="s">
        <v>165</v>
      </c>
      <c r="V36" s="25">
        <f ca="1">IF(Tool!G26=2,V33-Tool!G27/2,V33)</f>
        <v>135.0000258126496</v>
      </c>
      <c r="W36" s="15"/>
      <c r="X36" s="15"/>
      <c r="Y36" s="15"/>
    </row>
    <row r="37" spans="1:25" x14ac:dyDescent="0.25">
      <c r="A37">
        <f t="shared" si="4"/>
        <v>340</v>
      </c>
      <c r="B37" s="8">
        <f>RADIANS(A37-Tool!$G$5+180)</f>
        <v>8.2903139469730647</v>
      </c>
      <c r="C37" s="8">
        <f>RADIANS(A37-Tool!$G$9+180)</f>
        <v>7.5049157835756173</v>
      </c>
      <c r="D37" s="8">
        <f>RADIANS(A37-Tool!$G$11+180)</f>
        <v>9.0757121103705138</v>
      </c>
      <c r="E37" s="8">
        <f>RADIANS(A37-Tool!$G$13)</f>
        <v>2.9670597283903604</v>
      </c>
      <c r="F37" s="8">
        <f>RADIANS(A37-Tool!$G$15)</f>
        <v>4.3633231299858242</v>
      </c>
      <c r="G37" s="8">
        <f>RADIANS(A37-Tool!$G$19)</f>
        <v>5.9341194567807207</v>
      </c>
      <c r="H37" s="13">
        <f t="shared" si="0"/>
        <v>0.44462618632336937</v>
      </c>
      <c r="I37" s="13">
        <f t="shared" si="1"/>
        <v>8.034845121081742E-2</v>
      </c>
      <c r="J37" s="14">
        <f>0.5*0.00125*(Tool!$G$10*0.5144)^2*Tool!$W$9*(I37*Tool!$W$6-H37*Tool!$W$10)</f>
        <v>-3869.9629477462126</v>
      </c>
      <c r="K37" s="11">
        <f>MAX(1,(-0.8/3*Tool!$W$11/Tool!$W$8+2.6))*(0.3*SIN(E37)*ABS(SIN(E37))+0.28*SIN(E37))</f>
        <v>5.7667596628854213E-2</v>
      </c>
      <c r="L37" s="11">
        <f t="shared" si="2"/>
        <v>1.5390906449655087E-2</v>
      </c>
      <c r="M37" s="12">
        <f>0.5*1.025*(Tool!$G$12*0.5144)^2*Tool!$W$6*Tool!$W$8*(L37*Tool!$W$6-K37*Tool!$W$10)</f>
        <v>-1405.3095701163029</v>
      </c>
      <c r="N37" s="19">
        <f>9.81*(Tool!$G$14*COS(F37)*(-Tool!$G$17)+Tool!$G$14*SIN(F37)*(Tool!$G$16-Tool!$W$10))</f>
        <v>0</v>
      </c>
      <c r="O37" s="19">
        <f>9.81*(Tool!$G$18*COS(G37)*(-Tool!$G$21)+Tool!$G$18*SIN(G37)*(Tool!$G$20-Tool!$W$10))</f>
        <v>0</v>
      </c>
      <c r="P37" s="19">
        <f>-Tool!$W$10*5*Tool!$W$6*$P$2*SIN(B37)*SQRT(ABS(SIN(B37)))</f>
        <v>-43679.595054633035</v>
      </c>
      <c r="Q37" s="19">
        <f>-Tool!$W$10*5*Tool!$W$6*$Q$2*SIN(C37)*SQRT(ABS(SIN(C37)))</f>
        <v>-20495.628605989365</v>
      </c>
      <c r="R37" s="17">
        <f t="shared" si="5"/>
        <v>-69450.495999999999</v>
      </c>
      <c r="S37" s="17">
        <f t="shared" si="6"/>
        <v>804.13130000000024</v>
      </c>
      <c r="T37" s="16" t="str">
        <f t="shared" si="3"/>
        <v/>
      </c>
      <c r="U37" s="15" t="s">
        <v>166</v>
      </c>
      <c r="V37" s="15">
        <f>IF(Tool!G26=2,0.5*V31/COS(Tool!G27/2*PI()/180),0)</f>
        <v>0</v>
      </c>
      <c r="W37" s="15"/>
      <c r="X37" s="15"/>
      <c r="Y37" s="15"/>
    </row>
    <row r="38" spans="1:25" x14ac:dyDescent="0.25">
      <c r="A38">
        <f t="shared" si="4"/>
        <v>350</v>
      </c>
      <c r="B38" s="8">
        <f>RADIANS(A38-Tool!$G$5+180)</f>
        <v>8.4648468721724974</v>
      </c>
      <c r="C38" s="8">
        <f>RADIANS(A38-Tool!$G$9+180)</f>
        <v>7.67944870877505</v>
      </c>
      <c r="D38" s="8">
        <f>RADIANS(A38-Tool!$G$11+180)</f>
        <v>9.2502450355699466</v>
      </c>
      <c r="E38" s="8">
        <f>RADIANS(A38-Tool!$G$13)</f>
        <v>3.1415926535897931</v>
      </c>
      <c r="F38" s="8">
        <f>RADIANS(A38-Tool!$G$15)</f>
        <v>4.5378560551852569</v>
      </c>
      <c r="G38" s="8">
        <f>RADIANS(A38-Tool!$G$19)</f>
        <v>6.1086523819801535</v>
      </c>
      <c r="H38" s="13">
        <f t="shared" si="0"/>
        <v>0.22574263096700967</v>
      </c>
      <c r="I38" s="13">
        <f t="shared" si="1"/>
        <v>4.2752517915708624E-2</v>
      </c>
      <c r="J38" s="14">
        <f>0.5*0.00125*(Tool!$G$10*0.5144)^2*Tool!$W$9*(I38*Tool!$W$6-H38*Tool!$W$10)</f>
        <v>-1887.0950623238266</v>
      </c>
      <c r="K38" s="11">
        <f>MAX(1,(-0.8/3*Tool!$W$11/Tool!$W$8+2.6))*(0.3*SIN(E38)*ABS(SIN(E38))+0.28*SIN(E38))</f>
        <v>3.430415673744137E-17</v>
      </c>
      <c r="L38" s="11">
        <f t="shared" si="2"/>
        <v>1.102633609417758E-17</v>
      </c>
      <c r="M38" s="12">
        <f>0.5*1.025*(Tool!$G$12*0.5144)^2*Tool!$W$6*Tool!$W$8*(L38*Tool!$W$6-K38*Tool!$W$10)</f>
        <v>-4.9344750286620885E-13</v>
      </c>
      <c r="N38" s="19">
        <f>9.81*(Tool!$G$14*COS(F38)*(-Tool!$G$17)+Tool!$G$14*SIN(F38)*(Tool!$G$16-Tool!$W$10))</f>
        <v>0</v>
      </c>
      <c r="O38" s="19">
        <f>9.81*(Tool!$G$18*COS(G38)*(-Tool!$G$21)+Tool!$G$18*SIN(G38)*(Tool!$G$20-Tool!$W$10))</f>
        <v>0</v>
      </c>
      <c r="P38" s="19">
        <f>-Tool!$W$10*5*Tool!$W$6*$P$2*SIN(B38)*SQRT(ABS(SIN(B38)))</f>
        <v>-37532.873524447983</v>
      </c>
      <c r="Q38" s="19">
        <f>-Tool!$W$10*5*Tool!$W$6*$Q$2*SIN(C38)*SQRT(ABS(SIN(C38)))</f>
        <v>-21989.214035255802</v>
      </c>
      <c r="R38" s="17">
        <f t="shared" si="5"/>
        <v>-61409.182999999997</v>
      </c>
      <c r="S38" s="17">
        <f t="shared" si="6"/>
        <v>1021.2686999999999</v>
      </c>
      <c r="T38" s="16" t="str">
        <f t="shared" si="3"/>
        <v/>
      </c>
      <c r="U38" s="15" t="s">
        <v>167</v>
      </c>
      <c r="V38" s="25">
        <f ca="1">IF(Tool!G26=2,V33+Tool!G27/2,V33)</f>
        <v>135.0000258126496</v>
      </c>
      <c r="W38" s="15"/>
      <c r="X38" s="15"/>
      <c r="Y38" s="15"/>
    </row>
    <row r="39" spans="1:25" x14ac:dyDescent="0.25">
      <c r="A39">
        <f t="shared" si="4"/>
        <v>360</v>
      </c>
      <c r="B39" s="8">
        <f>RADIANS(A39-Tool!$G$5+180)</f>
        <v>8.639379797371932</v>
      </c>
      <c r="C39" s="8">
        <f>RADIANS(A39-Tool!$G$9+180)</f>
        <v>7.8539816339744828</v>
      </c>
      <c r="D39" s="8">
        <f>RADIANS(A39-Tool!$G$11+180)</f>
        <v>9.4247779607693793</v>
      </c>
      <c r="E39" s="8">
        <f>RADIANS(A39-Tool!$G$13)</f>
        <v>3.3161255787892263</v>
      </c>
      <c r="F39" s="8">
        <f>RADIANS(A39-Tool!$G$15)</f>
        <v>4.7123889803846897</v>
      </c>
      <c r="G39" s="8">
        <f>RADIANS(A39-Tool!$G$19)</f>
        <v>6.2831853071795862</v>
      </c>
      <c r="H39" s="13">
        <f t="shared" si="0"/>
        <v>4.778078974143618E-16</v>
      </c>
      <c r="I39" s="13">
        <f t="shared" si="1"/>
        <v>9.1886134118146501E-17</v>
      </c>
      <c r="J39" s="14">
        <f>0.5*0.00125*(Tool!$G$10*0.5144)^2*Tool!$W$9*(I39*Tool!$W$6-H39*Tool!$W$10)</f>
        <v>-3.9388270738766059E-12</v>
      </c>
      <c r="K39" s="11">
        <f>MAX(1,(-0.8/3*Tool!$W$11/Tool!$W$8+2.6))*(0.3*SIN(E39)*ABS(SIN(E39))+0.28*SIN(E39))</f>
        <v>-5.766759662885429E-2</v>
      </c>
      <c r="L39" s="11">
        <f t="shared" si="2"/>
        <v>-1.5390906449655106E-2</v>
      </c>
      <c r="M39" s="12">
        <f>0.5*1.025*(Tool!$G$12*0.5144)^2*Tool!$W$6*Tool!$W$8*(L39*Tool!$W$6-K39*Tool!$W$10)</f>
        <v>1405.3095701163056</v>
      </c>
      <c r="N39" s="19">
        <f>9.81*(Tool!$G$14*COS(F39)*(-Tool!$G$17)+Tool!$G$14*SIN(F39)*(Tool!$G$16-Tool!$W$10))</f>
        <v>0</v>
      </c>
      <c r="O39" s="19">
        <f>9.81*(Tool!$G$18*COS(G39)*(-Tool!$G$21)+Tool!$G$18*SIN(G39)*(Tool!$G$20-Tool!$W$10))</f>
        <v>0</v>
      </c>
      <c r="P39" s="19">
        <f>-Tool!$W$10*5*Tool!$W$6*$P$2*SIN(B39)*SQRT(ABS(SIN(B39)))</f>
        <v>-30101.805098506353</v>
      </c>
      <c r="Q39" s="19">
        <f>-Tool!$W$10*5*Tool!$W$6*$Q$2*SIN(C39)*SQRT(ABS(SIN(C39)))</f>
        <v>-22500</v>
      </c>
      <c r="R39" s="17">
        <f t="shared" si="5"/>
        <v>-51196.495999999999</v>
      </c>
      <c r="S39" s="16">
        <f>MATCH(Tool!G22,A3:A38,0)</f>
        <v>10</v>
      </c>
      <c r="T39" s="16">
        <f>MATCH(MAX(T3:T38),T3:T38,0)</f>
        <v>4</v>
      </c>
      <c r="U39" s="15"/>
      <c r="V39" s="15"/>
      <c r="W39" s="15"/>
      <c r="X39" s="15"/>
      <c r="Y39" s="15"/>
    </row>
  </sheetData>
  <sheetProtection algorithmName="SHA-512" hashValue="elR2F36iMXukLL6jKw5L9Pv7DqWyC0W5+Xky75WtDmNI4iaG7R2EwXzHZPRtEV4WFv2ec1egeA2+HtqM/waN8g==" saltValue="Uuc1NBpThSo3VeWBq27xUw==" spinCount="100000" sheet="1" objects="1" scenarios="1" selectLockedCells="1" selectUnlockedCells="1"/>
  <mergeCells count="3">
    <mergeCell ref="B1:G1"/>
    <mergeCell ref="K1:M1"/>
    <mergeCell ref="H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506"/>
  <sheetViews>
    <sheetView zoomScale="70" workbookViewId="0">
      <selection activeCell="L53" sqref="L53"/>
    </sheetView>
  </sheetViews>
  <sheetFormatPr defaultRowHeight="15" x14ac:dyDescent="0.25"/>
  <cols>
    <col min="1" max="22" width="9.140625" customWidth="1"/>
    <col min="24" max="24" width="9.140625" customWidth="1"/>
  </cols>
  <sheetData>
    <row r="1" spans="1:31" x14ac:dyDescent="0.25">
      <c r="A1" s="1" t="s">
        <v>241</v>
      </c>
      <c r="B1" s="1"/>
      <c r="C1" s="1"/>
      <c r="D1" s="1"/>
      <c r="E1" s="1"/>
      <c r="F1" s="1"/>
      <c r="G1" s="1"/>
      <c r="H1" s="1"/>
      <c r="I1" s="5"/>
      <c r="J1" s="5" t="s">
        <v>242</v>
      </c>
      <c r="K1" s="5"/>
      <c r="L1" s="5"/>
      <c r="M1" s="5"/>
      <c r="N1" s="5"/>
      <c r="O1" s="5"/>
      <c r="P1" s="5"/>
      <c r="Q1" s="6" t="s">
        <v>243</v>
      </c>
      <c r="R1" s="6"/>
      <c r="S1" s="6"/>
      <c r="T1" s="5" t="s">
        <v>244</v>
      </c>
      <c r="U1" s="5"/>
      <c r="V1" s="40"/>
      <c r="W1" s="40"/>
      <c r="X1" s="40" t="s">
        <v>245</v>
      </c>
      <c r="Y1" s="40"/>
      <c r="Z1" s="40"/>
      <c r="AA1" s="40"/>
      <c r="AB1" s="34"/>
      <c r="AC1" s="34"/>
      <c r="AD1" s="34"/>
      <c r="AE1" s="34"/>
    </row>
    <row r="2" spans="1:31" x14ac:dyDescent="0.25">
      <c r="A2" s="1"/>
      <c r="B2" s="1"/>
      <c r="C2" s="1"/>
      <c r="D2" s="33"/>
      <c r="E2" s="33"/>
      <c r="F2" s="33"/>
      <c r="G2" s="33"/>
      <c r="H2" s="33"/>
      <c r="I2" s="5"/>
      <c r="J2" s="5"/>
      <c r="K2" s="5"/>
      <c r="L2" s="5"/>
      <c r="M2" s="5"/>
      <c r="N2" s="5"/>
      <c r="O2" s="5"/>
      <c r="P2" s="5"/>
      <c r="Q2" s="6"/>
      <c r="R2" s="6"/>
      <c r="S2" s="6"/>
      <c r="T2" s="5"/>
      <c r="U2" s="5"/>
      <c r="V2" s="40"/>
      <c r="W2" s="40" t="s">
        <v>246</v>
      </c>
      <c r="X2" s="40"/>
      <c r="Y2" s="40"/>
      <c r="Z2" s="40"/>
      <c r="AA2" s="40"/>
      <c r="AB2" s="34"/>
      <c r="AC2" s="34">
        <f>AC3+15000*SIN(RADIANS(Tool!G29-Tool!G22))</f>
        <v>-2334.722665003957</v>
      </c>
      <c r="AD2" s="34">
        <f>AD3+15000*COS(RADIANS(Tool!G29-Tool!G22))</f>
        <v>-14772.116295183121</v>
      </c>
      <c r="AE2" s="34"/>
    </row>
    <row r="3" spans="1:31" x14ac:dyDescent="0.25">
      <c r="A3" s="2" t="s">
        <v>197</v>
      </c>
      <c r="B3" s="2" t="s">
        <v>198</v>
      </c>
      <c r="C3" s="1"/>
      <c r="D3" s="33" t="s">
        <v>233</v>
      </c>
      <c r="E3" s="33" t="s">
        <v>234</v>
      </c>
      <c r="F3" s="33"/>
      <c r="G3" s="33"/>
      <c r="H3" s="33"/>
      <c r="I3" s="5"/>
      <c r="J3" s="5"/>
      <c r="K3" s="5"/>
      <c r="L3" s="5"/>
      <c r="M3" s="5" t="str">
        <f ca="1">CONCATENATE("Equilibrium ",ROUND(MOD(MZ!V15,360),0)," deg")</f>
        <v>Equilibrium 33 deg</v>
      </c>
      <c r="N3" s="5"/>
      <c r="O3" s="5" t="str">
        <f>CONCATENATE("Required ",ROUND(MOD(Tool!D22,360),0)," deg")</f>
        <v>Required 90 deg</v>
      </c>
      <c r="P3" s="5"/>
      <c r="Q3" s="6"/>
      <c r="R3" s="6"/>
      <c r="S3" s="6"/>
      <c r="T3" s="5"/>
      <c r="U3" s="5"/>
      <c r="V3" s="40"/>
      <c r="W3" s="40"/>
      <c r="X3" s="40"/>
      <c r="Y3" s="40"/>
      <c r="Z3" s="40"/>
      <c r="AA3" s="40"/>
      <c r="AB3" s="32"/>
      <c r="AC3" s="46">
        <f>Vis!O5</f>
        <v>270</v>
      </c>
      <c r="AD3" s="46">
        <f>Vis!P5</f>
        <v>-1.653950414126637E-14</v>
      </c>
      <c r="AE3" s="46"/>
    </row>
    <row r="4" spans="1:31" x14ac:dyDescent="0.25">
      <c r="A4" s="1">
        <v>-860</v>
      </c>
      <c r="B4" s="1">
        <v>920</v>
      </c>
      <c r="C4" s="1"/>
      <c r="D4" s="43">
        <f>-(Tool!G16-Tool!W10)*SIN(RADIANS(Tool!G22))+Tool!G17*COS(RADIANS(Tool!G22))</f>
        <v>270</v>
      </c>
      <c r="E4" s="43">
        <f>(Tool!G16-Tool!W10)*COS(RADIANS(Tool!G22))+Tool!G17*SIN(RADIANS(Tool!G22))</f>
        <v>9.999999999999984</v>
      </c>
      <c r="F4" s="33"/>
      <c r="G4" s="41" t="s">
        <v>221</v>
      </c>
      <c r="H4" s="41"/>
      <c r="I4" s="26" t="s">
        <v>179</v>
      </c>
      <c r="J4" s="26" t="s">
        <v>178</v>
      </c>
      <c r="K4" s="26" t="s">
        <v>181</v>
      </c>
      <c r="L4" s="26" t="s">
        <v>180</v>
      </c>
      <c r="M4" s="26" t="s">
        <v>184</v>
      </c>
      <c r="N4" s="26" t="s">
        <v>183</v>
      </c>
      <c r="O4" s="26" t="s">
        <v>186</v>
      </c>
      <c r="P4" s="26" t="s">
        <v>185</v>
      </c>
      <c r="Q4" s="6" t="s">
        <v>72</v>
      </c>
      <c r="R4" s="6">
        <f>Tool!W17*9.81</f>
        <v>1962</v>
      </c>
      <c r="S4" s="6" t="s">
        <v>118</v>
      </c>
      <c r="T4" s="5"/>
      <c r="U4" s="5"/>
      <c r="V4" s="5"/>
      <c r="W4" s="5" t="s">
        <v>188</v>
      </c>
      <c r="X4" s="47" t="s">
        <v>251</v>
      </c>
      <c r="Y4" s="47" t="str">
        <f ca="1">CONCATENATE("T &lt; Depth &lt; ",ROUND(ABS(U39),1),"m")</f>
        <v>T &lt; Depth &lt; 17.6m</v>
      </c>
      <c r="Z4" s="47" t="str">
        <f ca="1">CONCATENATE("Depth &gt; ",ROUND(ABS(U39),1),"m")</f>
        <v>Depth &gt; 17.6m</v>
      </c>
      <c r="AA4" s="40"/>
      <c r="AB4" s="32"/>
      <c r="AC4" s="46">
        <f>AC3</f>
        <v>270</v>
      </c>
      <c r="AD4" s="46">
        <f>AD3</f>
        <v>-1.653950414126637E-14</v>
      </c>
      <c r="AE4" s="32"/>
    </row>
    <row r="5" spans="1:31" x14ac:dyDescent="0.25">
      <c r="A5" s="1">
        <f>A4+20</f>
        <v>-840</v>
      </c>
      <c r="B5" s="1">
        <f>B4</f>
        <v>920</v>
      </c>
      <c r="C5" s="1"/>
      <c r="D5" s="43">
        <f>D4-Tool!G14*SIN(RADIANS(Tool!G15))*9.81</f>
        <v>270</v>
      </c>
      <c r="E5" s="43">
        <f>E4+Tool!G14*COS(RADIANS(Tool!G15))*9.81</f>
        <v>9.999999999999984</v>
      </c>
      <c r="F5" s="33"/>
      <c r="G5" s="41" t="s">
        <v>188</v>
      </c>
      <c r="H5" s="41" t="s">
        <v>187</v>
      </c>
      <c r="I5" s="44">
        <f>Tool!W7/2*0</f>
        <v>0</v>
      </c>
      <c r="J5" s="44">
        <f>-1*Tool!W6/2-Tool!W10</f>
        <v>-270</v>
      </c>
      <c r="K5" s="44">
        <f>0*Tool!W3/2</f>
        <v>0</v>
      </c>
      <c r="L5" s="44">
        <f ca="1">0*Tool!W2+U7</f>
        <v>598.62990919965978</v>
      </c>
      <c r="M5" s="44">
        <f ca="1">J5*SIN(-MZ!$V$15*PI()/180)+I5*COS(-MZ!$V$15*PI()/180)</f>
        <v>145.89380860008097</v>
      </c>
      <c r="N5" s="44">
        <f ca="1">J5*COS(-MZ!$V$15*PI()/180)-I5*SIN(-MZ!$V$15*PI()/180)</f>
        <v>-227.18934088588517</v>
      </c>
      <c r="O5" s="44">
        <f>J5*SIN(-Tool!$G$22*PI()/180)+I5*COS(-Tool!$G$22*PI()/180)</f>
        <v>270</v>
      </c>
      <c r="P5" s="44">
        <f>J5*COS(-Tool!$G$22*PI()/180)-I5*SIN(-Tool!$G$22*PI()/180)</f>
        <v>-1.653950414126637E-14</v>
      </c>
      <c r="Q5" s="6" t="s">
        <v>199</v>
      </c>
      <c r="R5" s="6">
        <f>IF(ABS(Tool!W10)&lt;ABS(Tool!W6/2),Tool!W11-Tool!W8,Tool!W11)</f>
        <v>85</v>
      </c>
      <c r="S5" s="6"/>
      <c r="T5" s="5"/>
      <c r="U5" s="5"/>
      <c r="V5" s="5"/>
      <c r="W5" s="8">
        <f ca="1">$T$37*SIN(RADIANS(MZ!$V$36-Tool!$G$22))+$O$17</f>
        <v>693.29545891729799</v>
      </c>
      <c r="X5" s="8">
        <f ca="1">$T$37*COS(RADIANS(MZ!$V$36-Tool!$G$22))+$P$17</f>
        <v>423.29507751494936</v>
      </c>
      <c r="Y5" s="8"/>
      <c r="Z5" s="8"/>
      <c r="AA5" s="40"/>
      <c r="AB5" s="32"/>
      <c r="AC5" s="46">
        <f>AC3+15000*SIN(RADIANS(Tool!G28-Tool!G22))</f>
        <v>10876.601717798212</v>
      </c>
      <c r="AD5" s="32">
        <f>AD3+15000*COS(RADIANS(Tool!G28-Tool!G22))</f>
        <v>10606.601717798214</v>
      </c>
      <c r="AE5" s="32"/>
    </row>
    <row r="6" spans="1:31" x14ac:dyDescent="0.25">
      <c r="A6" s="1">
        <f>A4</f>
        <v>-860</v>
      </c>
      <c r="B6" s="1">
        <f>B5+20</f>
        <v>940</v>
      </c>
      <c r="C6" s="1"/>
      <c r="D6" s="43"/>
      <c r="E6" s="43"/>
      <c r="F6" s="33"/>
      <c r="G6" s="45">
        <f>SIN(RADIANS(0))</f>
        <v>0</v>
      </c>
      <c r="H6" s="45">
        <f>COS(RADIANS(0))</f>
        <v>1</v>
      </c>
      <c r="I6" s="44">
        <f>Tool!W7/2*0.9</f>
        <v>22.5</v>
      </c>
      <c r="J6" s="44">
        <f>-0.95*Tool!W6/2-Tool!W10</f>
        <v>-262.5</v>
      </c>
      <c r="K6" s="44">
        <f>0.8*Tool!W3/2</f>
        <v>8</v>
      </c>
      <c r="L6" s="44">
        <f ca="1">0.1*Tool!W2+U7</f>
        <v>603.62990919965978</v>
      </c>
      <c r="M6" s="44">
        <f ca="1">J6*SIN(-MZ!$V$15*PI()/180)+I6*COS(-MZ!$V$15*PI()/180)</f>
        <v>160.77364787945805</v>
      </c>
      <c r="N6" s="44">
        <f ca="1">J6*COS(-MZ!$V$15*PI()/180)-I6*SIN(-MZ!$V$15*PI()/180)</f>
        <v>-208.72070847793719</v>
      </c>
      <c r="O6" s="44">
        <f>J6*SIN(-Tool!$G$22*PI()/180)+I6*COS(-Tool!$G$22*PI()/180)</f>
        <v>262.5</v>
      </c>
      <c r="P6" s="44">
        <f>J6*COS(-Tool!$G$22*PI()/180)-I6*SIN(-Tool!$G$22*PI()/180)</f>
        <v>22.499999999999982</v>
      </c>
      <c r="Q6" s="6" t="s">
        <v>15</v>
      </c>
      <c r="R6" s="6">
        <f>Tool!W18/1000</f>
        <v>9.9548740800000007E-2</v>
      </c>
      <c r="S6" s="6" t="s">
        <v>177</v>
      </c>
      <c r="T6" s="5" t="s">
        <v>17</v>
      </c>
      <c r="U6" s="5">
        <f>Tool!G31/1000</f>
        <v>0.2</v>
      </c>
      <c r="V6" s="5" t="s">
        <v>177</v>
      </c>
      <c r="W6" s="8">
        <f ca="1">$T$38*SIN(RADIANS(MZ!$V$36-Tool!$G$22))+$O$17</f>
        <v>562.38515359891653</v>
      </c>
      <c r="X6" s="8">
        <f ca="1">$T$38*COS(RADIANS(MZ!$V$36-Tool!$G$22))+$P$17</f>
        <v>292.38489015081672</v>
      </c>
      <c r="Y6" s="8">
        <f ca="1">$T$38*COS(RADIANS(MZ!$V$36-Tool!$G$22))+$P$17</f>
        <v>292.38489015081672</v>
      </c>
      <c r="Z6" s="8"/>
      <c r="AA6" s="40"/>
      <c r="AB6" s="32"/>
      <c r="AC6" s="32"/>
      <c r="AD6" s="46"/>
      <c r="AE6" s="32"/>
    </row>
    <row r="7" spans="1:31" x14ac:dyDescent="0.25">
      <c r="A7" s="1">
        <f>A6</f>
        <v>-860</v>
      </c>
      <c r="B7" s="1">
        <f>B6-60</f>
        <v>880</v>
      </c>
      <c r="C7" s="1"/>
      <c r="D7" s="43">
        <f>-(Tool!G20-Tool!W10)*SIN(RADIANS(Tool!G22))+Tool!G21*COS(RADIANS(Tool!G22))</f>
        <v>220</v>
      </c>
      <c r="E7" s="43">
        <f>(Tool!G20-Tool!W10)*COS(RADIANS(Tool!G22))+Tool!G21*SIN(RADIANS(Tool!G22))</f>
        <v>-1.347663300399482E-14</v>
      </c>
      <c r="F7" s="33"/>
      <c r="G7" s="45">
        <f>SIN(RADIANS(45))</f>
        <v>0.70710678118654746</v>
      </c>
      <c r="H7" s="45">
        <f>COS(RADIANS(45))</f>
        <v>0.70710678118654757</v>
      </c>
      <c r="I7" s="44">
        <f>Tool!W7/2*1</f>
        <v>25</v>
      </c>
      <c r="J7" s="44">
        <f>-0.9*Tool!W6/2-Tool!W10</f>
        <v>-255</v>
      </c>
      <c r="K7" s="44">
        <f>1*Tool!W3/2</f>
        <v>10</v>
      </c>
      <c r="L7" s="44">
        <f ca="1">0.15*Tool!W2+U7</f>
        <v>606.12990919965978</v>
      </c>
      <c r="M7" s="44">
        <f ca="1">J7*SIN(-MZ!$V$15*PI()/180)+I7*COS(-MZ!$V$15*PI()/180)</f>
        <v>158.824647093214</v>
      </c>
      <c r="N7" s="44">
        <f ca="1">J7*COS(-MZ!$V$15*PI()/180)-I7*SIN(-MZ!$V$15*PI()/180)</f>
        <v>-201.05902485518035</v>
      </c>
      <c r="O7" s="44">
        <f>J7*SIN(-Tool!$G$22*PI()/180)+I7*COS(-Tool!$G$22*PI()/180)</f>
        <v>255</v>
      </c>
      <c r="P7" s="44">
        <f>J7*COS(-Tool!$G$22*PI()/180)-I7*SIN(-Tool!$G$22*PI()/180)</f>
        <v>24.999999999999986</v>
      </c>
      <c r="Q7" s="6" t="s">
        <v>174</v>
      </c>
      <c r="R7" s="20">
        <f>IF(R8/R9&gt;(R5/SQRT(Tool!W16^2-R5^2)),(R4/(R6)-R5)*ACOSH((R4/(R6))/(R4/(R6)-R5)),SQRT(Tool!W16^2-R5^2))</f>
        <v>1825.8324052787111</v>
      </c>
      <c r="S7" s="6" t="s">
        <v>0</v>
      </c>
      <c r="T7" s="5" t="s">
        <v>19</v>
      </c>
      <c r="U7" s="23">
        <f ca="1">2*ASINH(U8/U9)*(U9/U6)</f>
        <v>598.62990919965978</v>
      </c>
      <c r="V7" s="5" t="s">
        <v>0</v>
      </c>
      <c r="W7" s="8">
        <f ca="1">$T$39*SIN(RADIANS(MZ!$V$36-Tool!$G$22))+$O$17</f>
        <v>481.647729458649</v>
      </c>
      <c r="X7" s="8"/>
      <c r="Y7" s="8">
        <f ca="1">$T$39*COS(RADIANS(MZ!$V$36-Tool!$G$22))+$P$17</f>
        <v>211.64753875747465</v>
      </c>
      <c r="Z7" s="8">
        <f ca="1">$T$39*COS(RADIANS(MZ!$V$36-Tool!$G$22))+$P$17</f>
        <v>211.64753875747465</v>
      </c>
      <c r="AA7" s="40"/>
      <c r="AB7" s="32"/>
      <c r="AC7" s="32">
        <f>AC2-25*SIN(RADIANS(Tool!$G$29-Tool!$G$22+90))</f>
        <v>-2310.1024711786517</v>
      </c>
      <c r="AD7" s="46">
        <f>AD2-25*COS(RADIANS(Tool!$G$29-Tool!$G$22+90))</f>
        <v>-14776.457499624794</v>
      </c>
      <c r="AE7" s="32"/>
    </row>
    <row r="8" spans="1:31" x14ac:dyDescent="0.25">
      <c r="A8" s="1"/>
      <c r="B8" s="1"/>
      <c r="C8" s="1"/>
      <c r="D8" s="43">
        <f>D7-Tool!G18*SIN(RADIANS(Tool!G19))*9.81</f>
        <v>220</v>
      </c>
      <c r="E8" s="43">
        <f>E7+Tool!G18*COS(RADIANS(Tool!G19))*9.81</f>
        <v>-1.347663300399482E-14</v>
      </c>
      <c r="F8" s="33"/>
      <c r="G8" s="45">
        <f>SIN(RADIANS(90))</f>
        <v>1</v>
      </c>
      <c r="H8" s="45">
        <f>COS(RADIANS(90))</f>
        <v>6.1257422745431001E-17</v>
      </c>
      <c r="I8" s="44">
        <f>Tool!W7/2*1</f>
        <v>25</v>
      </c>
      <c r="J8" s="44">
        <f>0.8*Tool!W6/2-Tool!W10</f>
        <v>0</v>
      </c>
      <c r="K8" s="44">
        <f>1*Tool!W3/2</f>
        <v>10</v>
      </c>
      <c r="L8" s="44">
        <f ca="1">0.85*Tool!W2+U7</f>
        <v>641.12990919965978</v>
      </c>
      <c r="M8" s="44">
        <f ca="1">J8*SIN(-MZ!$V$15*PI()/180)+I8*COS(-MZ!$V$15*PI()/180)</f>
        <v>21.036050082026406</v>
      </c>
      <c r="N8" s="44">
        <f ca="1">J8*COS(-MZ!$V$15*PI()/180)-I8*SIN(-MZ!$V$15*PI()/180)</f>
        <v>13.508685981488981</v>
      </c>
      <c r="O8" s="44">
        <f>J8*SIN(-Tool!$G$22*PI()/180)+I8*COS(-Tool!$G$22*PI()/180)</f>
        <v>1.531435568635775E-15</v>
      </c>
      <c r="P8" s="44">
        <f>J8*COS(-Tool!$G$22*PI()/180)-I8*SIN(-Tool!$G$22*PI()/180)</f>
        <v>25</v>
      </c>
      <c r="Q8" s="6" t="s">
        <v>172</v>
      </c>
      <c r="R8" s="20">
        <f>SQRT(2*R5*R4/R6-R5^2)*R6</f>
        <v>182.02166795388425</v>
      </c>
      <c r="S8" s="6" t="s">
        <v>118</v>
      </c>
      <c r="T8" s="5" t="s">
        <v>168</v>
      </c>
      <c r="U8" s="5">
        <f>U6*Tool!G30/2</f>
        <v>60</v>
      </c>
      <c r="V8" s="5" t="s">
        <v>118</v>
      </c>
      <c r="W8" s="8">
        <f ca="1">$T$40*SIN(RADIANS(MZ!$V$36-Tool!$G$22))+$O$17</f>
        <v>693.29545891729799</v>
      </c>
      <c r="X8" s="8"/>
      <c r="Y8" s="8"/>
      <c r="Z8" s="8">
        <f ca="1">$T$40*COS(RADIANS(MZ!$V$36-Tool!$G$22))+$P$17</f>
        <v>423.29507751494936</v>
      </c>
      <c r="AA8" s="40"/>
      <c r="AB8" s="32"/>
      <c r="AC8" s="32">
        <f>AC3-25/SIN(RADIANS(-Tool!G29))*SIN(RADIANS(-Tool!$G$22))</f>
        <v>295.38566529714365</v>
      </c>
      <c r="AD8" s="46">
        <f>AD3-25/SIN(RADIANS(-Tool!G29))*COS(RADIANS(Tool!$G$22))</f>
        <v>-1.8094564572047516E-14</v>
      </c>
      <c r="AE8" s="32"/>
    </row>
    <row r="9" spans="1:31" x14ac:dyDescent="0.25">
      <c r="A9" s="1">
        <f>A7-10</f>
        <v>-870</v>
      </c>
      <c r="B9" s="1">
        <f>B7-20</f>
        <v>860</v>
      </c>
      <c r="C9" s="1"/>
      <c r="D9" s="43"/>
      <c r="E9" s="43"/>
      <c r="F9" s="33"/>
      <c r="G9" s="45">
        <f>SIN(RADIANS(135))</f>
        <v>0.70710678118654757</v>
      </c>
      <c r="H9" s="45">
        <f>COS(RADIANS(135))</f>
        <v>-0.70710678118654746</v>
      </c>
      <c r="I9" s="44">
        <f>Tool!W7/2*0.5</f>
        <v>12.5</v>
      </c>
      <c r="J9" s="44">
        <f>0.95*Tool!W6/2-Tool!W10</f>
        <v>22.5</v>
      </c>
      <c r="K9" s="44">
        <f>0.8*Tool!W3/2</f>
        <v>8</v>
      </c>
      <c r="L9" s="44">
        <f ca="1">0.9*Tool!W2+U7</f>
        <v>643.62990919965978</v>
      </c>
      <c r="M9" s="44">
        <f ca="1">J9*SIN(-MZ!$V$15*PI()/180)+I9*COS(-MZ!$V$15*PI()/180)</f>
        <v>-1.6397923423268779</v>
      </c>
      <c r="N9" s="44">
        <f ca="1">J9*COS(-MZ!$V$15*PI()/180)-I9*SIN(-MZ!$V$15*PI()/180)</f>
        <v>25.686788064568255</v>
      </c>
      <c r="O9" s="44">
        <f>J9*SIN(-Tool!$G$22*PI()/180)+I9*COS(-Tool!$G$22*PI()/180)</f>
        <v>-22.5</v>
      </c>
      <c r="P9" s="44">
        <f>J9*COS(-Tool!$G$22*PI()/180)-I9*SIN(-Tool!$G$22*PI()/180)</f>
        <v>12.500000000000002</v>
      </c>
      <c r="Q9" s="6" t="s">
        <v>173</v>
      </c>
      <c r="R9" s="6">
        <f>SQRT(R4^2-R8^2)</f>
        <v>1953.538357032</v>
      </c>
      <c r="S9" s="6" t="s">
        <v>118</v>
      </c>
      <c r="T9" s="5" t="s">
        <v>169</v>
      </c>
      <c r="U9" s="5">
        <f ca="1">MZ!V35</f>
        <v>511.01813021625657</v>
      </c>
      <c r="V9" s="5" t="s">
        <v>118</v>
      </c>
      <c r="W9" s="8">
        <f ca="1">$T$41*SIN(RADIANS(MZ!$V$36-Tool!$G$22))+$O$17</f>
        <v>481.647729458649</v>
      </c>
      <c r="X9" s="8"/>
      <c r="Y9" s="8">
        <f ca="1">$T$41*COS(RADIANS(MZ!$V$36-Tool!$G$22))+$P$17</f>
        <v>211.64753875747465</v>
      </c>
      <c r="Z9" s="8">
        <f ca="1">$T$41*COS(RADIANS(MZ!$V$36-Tool!$G$22))+$P$17</f>
        <v>211.64753875747465</v>
      </c>
      <c r="AA9" s="40"/>
      <c r="AB9" s="32"/>
      <c r="AC9" s="32">
        <f>AC4-25/SIN(RADIANS(Tool!G28))*SIN(RADIANS(-Tool!$G$22))</f>
        <v>305.35533905932738</v>
      </c>
      <c r="AD9" s="46">
        <f>AD4-25/SIN(RADIANS(Tool!G28))*COS(RADIANS(Tool!$G$22))</f>
        <v>-1.8705281092331635E-14</v>
      </c>
      <c r="AE9" s="32"/>
    </row>
    <row r="10" spans="1:31" x14ac:dyDescent="0.25">
      <c r="A10" s="1">
        <f>A9</f>
        <v>-870</v>
      </c>
      <c r="B10" s="1">
        <f>B9-30</f>
        <v>830</v>
      </c>
      <c r="C10" s="1"/>
      <c r="D10" s="43">
        <f>IFERROR(D4,-(Tool!G16-Tool!W10)*SIN(RADIANS(MZ!V15))+Tool!G17*COS(RADIANS(MZ!V15)))</f>
        <v>270</v>
      </c>
      <c r="E10" s="43">
        <f>IFERROR(E4,(Tool!G16-Tool!W10)*COS(RADIANS(MZ!V15))+Tool!G17*SIN(RADIANS(MZ!V15)))</f>
        <v>9.999999999999984</v>
      </c>
      <c r="F10" s="33"/>
      <c r="G10" s="45">
        <f>SIN(RADIANS(180))</f>
        <v>1.22514845490862E-16</v>
      </c>
      <c r="H10" s="45">
        <f>COS(RADIANS(180))</f>
        <v>-1</v>
      </c>
      <c r="I10" s="44">
        <f>Tool!W7/2*0</f>
        <v>0</v>
      </c>
      <c r="J10" s="44">
        <f>1*Tool!W6/2-Tool!W10</f>
        <v>30</v>
      </c>
      <c r="K10" s="44">
        <f>0*Tool!W3/2</f>
        <v>0</v>
      </c>
      <c r="L10" s="44">
        <f ca="1">1*Tool!W2+U7</f>
        <v>648.62990919965978</v>
      </c>
      <c r="M10" s="44">
        <f ca="1">J10*SIN(-MZ!$V$15*PI()/180)+I10*COS(-MZ!$V$15*PI()/180)</f>
        <v>-16.210423177786776</v>
      </c>
      <c r="N10" s="44">
        <f ca="1">J10*COS(-MZ!$V$15*PI()/180)-I10*SIN(-MZ!$V$15*PI()/180)</f>
        <v>25.243260098431687</v>
      </c>
      <c r="O10" s="44">
        <f>J10*SIN(-Tool!$G$22*PI()/180)+I10*COS(-Tool!$G$22*PI()/180)</f>
        <v>-30</v>
      </c>
      <c r="P10" s="44">
        <f>J10*COS(-Tool!$G$22*PI()/180)-I10*SIN(-Tool!$G$22*PI()/180)</f>
        <v>1.83772268236293E-15</v>
      </c>
      <c r="Q10" s="6" t="s">
        <v>175</v>
      </c>
      <c r="R10" s="6">
        <f>ASINH(R8/R9)</f>
        <v>9.3041079128579646E-2</v>
      </c>
      <c r="S10" s="6"/>
      <c r="T10" s="5" t="s">
        <v>175</v>
      </c>
      <c r="U10" s="5">
        <f ca="1">ASINH(U8/U9)</f>
        <v>0.11714455394103669</v>
      </c>
      <c r="V10" s="5"/>
      <c r="W10" s="8">
        <f ca="1">$T$42*SIN(RADIANS(MZ!$V$36-Tool!$G$22))+$O$17</f>
        <v>400.91030531838152</v>
      </c>
      <c r="X10" s="8">
        <f ca="1">$T$42*COS(RADIANS(MZ!$V$36-Tool!$G$22))+$P$17</f>
        <v>130.91018736413258</v>
      </c>
      <c r="Y10" s="8">
        <f ca="1">$T$42*COS(RADIANS(MZ!$V$36-Tool!$G$22))+$P$17</f>
        <v>130.91018736413258</v>
      </c>
      <c r="Z10" s="8"/>
      <c r="AA10" s="40"/>
      <c r="AB10" s="32"/>
      <c r="AC10" s="32">
        <f>AC5-25*SIN(RADIANS(Tool!$G$28-Tool!$G$22-90))</f>
        <v>10894.279387327875</v>
      </c>
      <c r="AD10" s="46">
        <f>AD5-25*COS(RADIANS(Tool!$G$28-Tool!$G$22-90))</f>
        <v>10588.924048268551</v>
      </c>
      <c r="AE10" s="32"/>
    </row>
    <row r="11" spans="1:31" x14ac:dyDescent="0.25">
      <c r="A11" s="1">
        <f>A9+25</f>
        <v>-845</v>
      </c>
      <c r="B11" s="1">
        <f>B9</f>
        <v>860</v>
      </c>
      <c r="C11" s="1"/>
      <c r="D11" s="43">
        <f>IFERROR(D5,D10-Tool!G14*SIN(RADIANS(Tool!G15))*9.81)</f>
        <v>270</v>
      </c>
      <c r="E11" s="43">
        <f>IFERROR(E5,E10+Tool!G14*COS(RADIANS(Tool!G15))*9.81)</f>
        <v>9.999999999999984</v>
      </c>
      <c r="F11" s="33"/>
      <c r="G11" s="45">
        <f>SIN(RADIANS(225))</f>
        <v>-0.70710678118654746</v>
      </c>
      <c r="H11" s="45">
        <f>COS(RADIANS(225))</f>
        <v>-0.70710678118654768</v>
      </c>
      <c r="I11" s="44">
        <f>Tool!W7/2*-0.5</f>
        <v>-12.5</v>
      </c>
      <c r="J11" s="44">
        <f>0.95*Tool!W6/2-Tool!W10</f>
        <v>22.5</v>
      </c>
      <c r="K11" s="44">
        <f>-0.8*Tool!W3/2</f>
        <v>-8</v>
      </c>
      <c r="L11" s="44">
        <f ca="1">0.9*Tool!W2+U7</f>
        <v>643.62990919965978</v>
      </c>
      <c r="M11" s="44">
        <f ca="1">J11*SIN(-MZ!$V$15*PI()/180)+I11*COS(-MZ!$V$15*PI()/180)</f>
        <v>-22.675842424353284</v>
      </c>
      <c r="N11" s="44">
        <f ca="1">J11*COS(-MZ!$V$15*PI()/180)-I11*SIN(-MZ!$V$15*PI()/180)</f>
        <v>12.178102083079274</v>
      </c>
      <c r="O11" s="44">
        <f>J11*SIN(-Tool!$G$22*PI()/180)+I11*COS(-Tool!$G$22*PI()/180)</f>
        <v>-22.5</v>
      </c>
      <c r="P11" s="44">
        <f>J11*COS(-Tool!$G$22*PI()/180)-I11*SIN(-Tool!$G$22*PI()/180)</f>
        <v>-12.499999999999998</v>
      </c>
      <c r="Q11" s="6" t="s">
        <v>176</v>
      </c>
      <c r="R11" s="6">
        <f>-R9/R6*COSH(R10)</f>
        <v>-19708.938397742142</v>
      </c>
      <c r="S11" s="6"/>
      <c r="T11" s="5" t="s">
        <v>176</v>
      </c>
      <c r="U11" s="5">
        <f ca="1">-U9/U6*COSH(U10)</f>
        <v>-2572.6422672503409</v>
      </c>
      <c r="V11" s="5"/>
      <c r="W11" s="8">
        <f ca="1">$T$43*SIN(RADIANS(MZ!$V$36-Tool!$G$22))+$O$17</f>
        <v>269.99999999999966</v>
      </c>
      <c r="X11" s="8">
        <f ca="1">$T$43*COS(RADIANS(MZ!$V$36-Tool!$G$22))+$P$17</f>
        <v>0</v>
      </c>
      <c r="Y11" s="8"/>
      <c r="Z11" s="8"/>
      <c r="AA11" s="40"/>
      <c r="AB11" s="32"/>
      <c r="AC11" s="32"/>
      <c r="AD11" s="32"/>
      <c r="AE11" s="32"/>
    </row>
    <row r="12" spans="1:31" x14ac:dyDescent="0.25">
      <c r="A12" s="1">
        <f>A11</f>
        <v>-845</v>
      </c>
      <c r="B12" s="1">
        <f>B10</f>
        <v>830</v>
      </c>
      <c r="C12" s="1"/>
      <c r="D12" s="43"/>
      <c r="E12" s="43"/>
      <c r="F12" s="33"/>
      <c r="G12" s="45">
        <f>SIN(RADIANS(270))</f>
        <v>-1</v>
      </c>
      <c r="H12" s="45">
        <f>COS(RADIANS(270))</f>
        <v>-1.83772268236293E-16</v>
      </c>
      <c r="I12" s="44">
        <f>Tool!W7/2*-1</f>
        <v>-25</v>
      </c>
      <c r="J12" s="44">
        <f>0.8*Tool!W6/2-Tool!W10</f>
        <v>0</v>
      </c>
      <c r="K12" s="44">
        <f>-1*Tool!W3/2</f>
        <v>-10</v>
      </c>
      <c r="L12" s="44">
        <f ca="1">0.85*Tool!W2+U7</f>
        <v>641.12990919965978</v>
      </c>
      <c r="M12" s="44">
        <f ca="1">J12*SIN(-MZ!$V$15*PI()/180)+I12*COS(-MZ!$V$15*PI()/180)</f>
        <v>-21.036050082026406</v>
      </c>
      <c r="N12" s="44">
        <f ca="1">J12*COS(-MZ!$V$15*PI()/180)-I12*SIN(-MZ!$V$15*PI()/180)</f>
        <v>-13.508685981488981</v>
      </c>
      <c r="O12" s="44">
        <f>J12*SIN(-Tool!$G$22*PI()/180)+I12*COS(-Tool!$G$22*PI()/180)</f>
        <v>-1.531435568635775E-15</v>
      </c>
      <c r="P12" s="44">
        <f>J12*COS(-Tool!$G$22*PI()/180)-I12*SIN(-Tool!$G$22*PI()/180)</f>
        <v>-25</v>
      </c>
      <c r="Q12" s="6" t="s">
        <v>230</v>
      </c>
      <c r="R12" s="6">
        <f>$R$5/SQRT(Tool!$W$16^2-$R$5^2)</f>
        <v>8.5308736476703201E-2</v>
      </c>
      <c r="S12" s="6"/>
      <c r="T12" s="5"/>
      <c r="U12" s="5"/>
      <c r="V12" s="5"/>
      <c r="W12" s="8"/>
      <c r="X12" s="8"/>
      <c r="Y12" s="8"/>
      <c r="Z12" s="8"/>
      <c r="AA12" s="40"/>
      <c r="AB12" s="32"/>
      <c r="AC12" s="32">
        <f>AC7-25*SIN(RADIANS(Tool!$G$29-Tool!$G$22+90))</f>
        <v>-2285.4822773533465</v>
      </c>
      <c r="AD12" s="46">
        <f>AD7-25*COS(RADIANS(Tool!$G$29-Tool!$G$22+90))</f>
        <v>-14780.798704066467</v>
      </c>
      <c r="AE12" s="32"/>
    </row>
    <row r="13" spans="1:31" x14ac:dyDescent="0.25">
      <c r="A13" s="1"/>
      <c r="B13" s="1"/>
      <c r="C13" s="1"/>
      <c r="D13" s="43">
        <f>IFERROR(D7,-(Tool!G20-Tool!W10)*SIN(RADIANS(MZ!V15))+Tool!G21*COS(RADIANS(MZ!V15)))</f>
        <v>220</v>
      </c>
      <c r="E13" s="43">
        <f>IFERROR(E7,(Tool!G20-Tool!W10)*COS(RADIANS(MZ!V15))+Tool!G21*SIN(RADIANS(MZ!V15)))</f>
        <v>-1.347663300399482E-14</v>
      </c>
      <c r="F13" s="33"/>
      <c r="G13" s="45">
        <f>SIN(RADIANS(315))</f>
        <v>-0.70710678118654768</v>
      </c>
      <c r="H13" s="45">
        <f>COS(RADIANS(315))</f>
        <v>0.70710678118654735</v>
      </c>
      <c r="I13" s="44">
        <f>Tool!W7/2*-1</f>
        <v>-25</v>
      </c>
      <c r="J13" s="44">
        <f>-0.9*Tool!W6/2-Tool!W10</f>
        <v>-255</v>
      </c>
      <c r="K13" s="44">
        <f>-1*Tool!W3/2</f>
        <v>-10</v>
      </c>
      <c r="L13" s="44">
        <f ca="1">0.15*Tool!W2+U7</f>
        <v>606.12990919965978</v>
      </c>
      <c r="M13" s="44">
        <f ca="1">J13*SIN(-MZ!$V$15*PI()/180)+I13*COS(-MZ!$V$15*PI()/180)</f>
        <v>116.75254692916118</v>
      </c>
      <c r="N13" s="44">
        <f ca="1">J13*COS(-MZ!$V$15*PI()/180)-I13*SIN(-MZ!$V$15*PI()/180)</f>
        <v>-228.07639681815832</v>
      </c>
      <c r="O13" s="44">
        <f>J13*SIN(-Tool!$G$22*PI()/180)+I13*COS(-Tool!$G$22*PI()/180)</f>
        <v>255</v>
      </c>
      <c r="P13" s="44">
        <f>J13*COS(-Tool!$G$22*PI()/180)-I13*SIN(-Tool!$G$22*PI()/180)</f>
        <v>-25.000000000000014</v>
      </c>
      <c r="Q13" s="6" t="s">
        <v>170</v>
      </c>
      <c r="R13" s="6" t="s">
        <v>171</v>
      </c>
      <c r="S13" s="6" t="s">
        <v>229</v>
      </c>
      <c r="T13" s="5" t="s">
        <v>170</v>
      </c>
      <c r="U13" s="5" t="s">
        <v>171</v>
      </c>
      <c r="V13" s="5"/>
      <c r="W13" s="8">
        <f ca="1">$O$29+$T37*SIN(RADIANS(MZ!$V$38-Tool!$G$22))</f>
        <v>693.29545891729799</v>
      </c>
      <c r="X13" s="8">
        <f ca="1">$P$29+$T37*COS(RADIANS(MZ!$V$38-Tool!$G$22))</f>
        <v>423.29507751494936</v>
      </c>
      <c r="Y13" s="8"/>
      <c r="Z13" s="8"/>
      <c r="AA13" s="40"/>
      <c r="AB13" s="32"/>
      <c r="AC13" s="32">
        <f>AC8-25/SIN(RADIANS(-Tool!G29))*SIN(RADIANS(-Tool!$G$22))</f>
        <v>320.77133059428729</v>
      </c>
      <c r="AD13" s="46">
        <f>AD8-25/SIN(RADIANS(-Tool!G29))*COS(RADIANS(Tool!$G$22))</f>
        <v>-1.9649625002828661E-14</v>
      </c>
      <c r="AE13" s="32"/>
    </row>
    <row r="14" spans="1:31" x14ac:dyDescent="0.25">
      <c r="A14" s="1">
        <f>A7</f>
        <v>-860</v>
      </c>
      <c r="B14" s="1">
        <f>B12-20</f>
        <v>810</v>
      </c>
      <c r="C14" s="1"/>
      <c r="D14" s="43">
        <f>IFERROR(D8,D13-Tool!G18*SIN(RADIANS(Tool!G19))*9.81)</f>
        <v>220</v>
      </c>
      <c r="E14" s="43">
        <f>IFERROR(E8,E13+Tool!G18*COS(RADIANS(Tool!G19))*9.81)</f>
        <v>-1.347663300399482E-14</v>
      </c>
      <c r="F14" s="33"/>
      <c r="G14" s="45">
        <f>SIN(RADIANS(360))</f>
        <v>-2.45029690981724E-16</v>
      </c>
      <c r="H14" s="45">
        <f>COS(RADIANS(360))</f>
        <v>1</v>
      </c>
      <c r="I14" s="44">
        <f>Tool!W7/2*-0.9</f>
        <v>-22.5</v>
      </c>
      <c r="J14" s="44">
        <f>-0.95*Tool!W6/2-Tool!W10</f>
        <v>-262.5</v>
      </c>
      <c r="K14" s="44">
        <f>-0.8*Tool!W3/2</f>
        <v>-8</v>
      </c>
      <c r="L14" s="44">
        <f ca="1">0.1*Tool!W2+U7</f>
        <v>603.62990919965978</v>
      </c>
      <c r="M14" s="44">
        <f ca="1">J14*SIN(-MZ!$V$15*PI()/180)+I14*COS(-MZ!$V$15*PI()/180)</f>
        <v>122.90875773181051</v>
      </c>
      <c r="N14" s="44">
        <f ca="1">J14*COS(-MZ!$V$15*PI()/180)-I14*SIN(-MZ!$V$15*PI()/180)</f>
        <v>-233.03634324461734</v>
      </c>
      <c r="O14" s="44">
        <f>J14*SIN(-Tool!$G$22*PI()/180)+I14*COS(-Tool!$G$22*PI()/180)</f>
        <v>262.5</v>
      </c>
      <c r="P14" s="44">
        <f>J14*COS(-Tool!$G$22*PI()/180)-I14*SIN(-Tool!$G$22*PI()/180)</f>
        <v>-22.500000000000018</v>
      </c>
      <c r="Q14" s="6">
        <v>0</v>
      </c>
      <c r="R14" s="6">
        <f>IF($R$8/$R$9&gt;(Tool!$W$11/SQRT(Tool!$W$16^2-Tool!$W$11^2)),$R$9/$R$6*COSH($R$6/$R$9*Q14+$R$10)+$R$11,Q14*Tool!$W$11/SQRT(Tool!$W$16^2-Tool!$W$11^2))</f>
        <v>0</v>
      </c>
      <c r="S14" s="6">
        <f>$R$5/SQRT(Tool!$G$30^2-$R$5^2)*Q14</f>
        <v>0</v>
      </c>
      <c r="T14" s="5">
        <v>0</v>
      </c>
      <c r="U14" s="5">
        <f t="shared" ref="U14:U34" ca="1" si="0">$U$9/$U$6*COSH($U$6/$U$9*T14+$U$10)+$U$11</f>
        <v>0</v>
      </c>
      <c r="V14" s="5"/>
      <c r="W14" s="8">
        <f ca="1">$O$29+$T38*SIN(RADIANS(MZ!$V$38-Tool!$G$22))</f>
        <v>562.38515359891653</v>
      </c>
      <c r="X14" s="8">
        <f ca="1">$P$29+$T38*COS(RADIANS(MZ!$V$38-Tool!$G$22))</f>
        <v>292.38489015081672</v>
      </c>
      <c r="Y14" s="8">
        <f ca="1">$P$29+$T38*COS(RADIANS(MZ!$V$38-Tool!$G$22))</f>
        <v>292.38489015081672</v>
      </c>
      <c r="Z14" s="8"/>
      <c r="AA14" s="40"/>
      <c r="AB14" s="32"/>
      <c r="AC14" s="32">
        <f>AC9-25/SIN(RADIANS(Tool!G28))*SIN(RADIANS(-Tool!$G$22))</f>
        <v>340.71067811865476</v>
      </c>
      <c r="AD14" s="46">
        <f>AD9-25/SIN(RADIANS(Tool!G28))*COS(RADIANS(Tool!$G$22))</f>
        <v>-2.08710580433969E-14</v>
      </c>
      <c r="AE14" s="32"/>
    </row>
    <row r="15" spans="1:31" x14ac:dyDescent="0.25">
      <c r="A15" s="1">
        <f>A14</f>
        <v>-860</v>
      </c>
      <c r="B15" s="1">
        <f>B14-30</f>
        <v>780</v>
      </c>
      <c r="C15" s="1"/>
      <c r="D15" s="33"/>
      <c r="E15" s="33"/>
      <c r="F15" s="33"/>
      <c r="G15" s="33"/>
      <c r="H15" s="33"/>
      <c r="I15" s="44">
        <f>Tool!W7/2*0</f>
        <v>0</v>
      </c>
      <c r="J15" s="44">
        <f>-1*Tool!W6/2-Tool!W10</f>
        <v>-270</v>
      </c>
      <c r="K15" s="44">
        <f>0*Tool!W3/2</f>
        <v>0</v>
      </c>
      <c r="L15" s="44">
        <f ca="1">0*Tool!W2+U7</f>
        <v>598.62990919965978</v>
      </c>
      <c r="M15" s="44">
        <f ca="1">J15*SIN(-MZ!$V$15*PI()/180)+I15*COS(-MZ!$V$15*PI()/180)</f>
        <v>145.89380860008097</v>
      </c>
      <c r="N15" s="44">
        <f ca="1">J15*COS(-MZ!$V$15*PI()/180)-I15*SIN(-MZ!$V$15*PI()/180)</f>
        <v>-227.18934088588517</v>
      </c>
      <c r="O15" s="44">
        <f>J15*SIN(-Tool!$G$22*PI()/180)+I15*COS(-Tool!$G$22*PI()/180)</f>
        <v>270</v>
      </c>
      <c r="P15" s="44">
        <f>J15*COS(-Tool!$G$22*PI()/180)-I15*SIN(-Tool!$G$22*PI()/180)</f>
        <v>-1.653950414126637E-14</v>
      </c>
      <c r="Q15" s="6">
        <f t="shared" ref="Q15:Q34" si="1">Q14-$R$7/20</f>
        <v>-91.291620263935556</v>
      </c>
      <c r="R15" s="6">
        <f>IF($R$8/$R$9&gt;(Tool!$W$11/SQRT(Tool!$W$16^2-Tool!$W$11^2)),$R$9/$R$6*COSH($R$6/$R$9*Q15+$R$10)+$R$11,Q15*Tool!$W$11/SQRT(Tool!$W$16^2-Tool!$W$11^2))</f>
        <v>-9.1751530581539402</v>
      </c>
      <c r="S15" s="6">
        <f t="shared" ref="S15:S34" si="2">$R$12*Q15</f>
        <v>-7.7879727756273365</v>
      </c>
      <c r="T15" s="5">
        <f t="shared" ref="T15:T34" ca="1" si="3">T14-$U$7/20</f>
        <v>-29.93149545998299</v>
      </c>
      <c r="U15" s="5">
        <f t="shared" ca="1" si="0"/>
        <v>-3.3378951030840653</v>
      </c>
      <c r="V15" s="5"/>
      <c r="W15" s="8">
        <f ca="1">$O$29+$T39*SIN(RADIANS(MZ!$V$38-Tool!$G$22))</f>
        <v>481.647729458649</v>
      </c>
      <c r="X15" s="8"/>
      <c r="Y15" s="8">
        <f ca="1">$P$29+$T39*COS(RADIANS(MZ!$V$38-Tool!$G$22))</f>
        <v>211.64753875747465</v>
      </c>
      <c r="Z15" s="8">
        <f ca="1">$P$29+$T39*COS(RADIANS(MZ!$V$38-Tool!$G$22))</f>
        <v>211.64753875747465</v>
      </c>
      <c r="AA15" s="40"/>
      <c r="AB15" s="32"/>
      <c r="AC15" s="32">
        <f>AC10-25*SIN(RADIANS(Tool!$G$28-Tool!$G$22-90))</f>
        <v>10911.957056857538</v>
      </c>
      <c r="AD15" s="46">
        <f>AD10-25*COS(RADIANS(Tool!$G$28-Tool!$G$22-90))</f>
        <v>10571.246378738888</v>
      </c>
      <c r="AE15" s="32"/>
    </row>
    <row r="16" spans="1:31" x14ac:dyDescent="0.25">
      <c r="A16" s="1"/>
      <c r="B16" s="1"/>
      <c r="C16" s="1"/>
      <c r="D16" s="33"/>
      <c r="E16" s="33"/>
      <c r="F16" s="33"/>
      <c r="G16" s="33"/>
      <c r="H16" s="33"/>
      <c r="I16" s="44"/>
      <c r="J16" s="44"/>
      <c r="K16" s="44"/>
      <c r="L16" s="44"/>
      <c r="M16" s="44"/>
      <c r="N16" s="44"/>
      <c r="O16" s="44"/>
      <c r="P16" s="44"/>
      <c r="Q16" s="6">
        <f t="shared" si="1"/>
        <v>-182.58324052787111</v>
      </c>
      <c r="R16" s="6">
        <f>IF($R$8/$R$9&gt;(Tool!$W$11/SQRT(Tool!$W$16^2-Tool!$W$11^2)),$R$9/$R$6*COSH($R$6/$R$9*Q16+$R$10)+$R$11,Q16*Tool!$W$11/SQRT(Tool!$W$16^2-Tool!$W$11^2))</f>
        <v>-18.35030611630788</v>
      </c>
      <c r="S16" s="6">
        <f t="shared" si="2"/>
        <v>-15.575945551254673</v>
      </c>
      <c r="T16" s="5">
        <f t="shared" ca="1" si="3"/>
        <v>-59.862990919965981</v>
      </c>
      <c r="U16" s="5">
        <f t="shared" ca="1" si="0"/>
        <v>-6.323204478558182</v>
      </c>
      <c r="V16" s="5"/>
      <c r="W16" s="8">
        <f ca="1">$O$29+$T40*SIN(RADIANS(MZ!$V$38-Tool!$G$22))</f>
        <v>693.29545891729799</v>
      </c>
      <c r="X16" s="8"/>
      <c r="Y16" s="8"/>
      <c r="Z16" s="8">
        <f ca="1">$P$29+$T40*COS(RADIANS(MZ!$V$38-Tool!$G$22))</f>
        <v>423.29507751494936</v>
      </c>
      <c r="AA16" s="40"/>
      <c r="AB16" s="32"/>
      <c r="AC16" s="32"/>
      <c r="AD16" s="46"/>
      <c r="AE16" s="32"/>
    </row>
    <row r="17" spans="1:31" x14ac:dyDescent="0.25">
      <c r="A17" s="1" t="s">
        <v>192</v>
      </c>
      <c r="B17" s="1" t="s">
        <v>191</v>
      </c>
      <c r="C17" s="1" t="s">
        <v>226</v>
      </c>
      <c r="D17" s="1" t="s">
        <v>227</v>
      </c>
      <c r="E17" s="1" t="s">
        <v>190</v>
      </c>
      <c r="F17" s="1" t="s">
        <v>189</v>
      </c>
      <c r="G17" s="1" t="s">
        <v>194</v>
      </c>
      <c r="H17" s="1" t="s">
        <v>193</v>
      </c>
      <c r="I17" s="44">
        <f ca="1">L5*SIN(MZ!$V$36*PI()/180)+K5*COS(MZ!$V$36*PI()/180)+Tool!$G$25</f>
        <v>423.29507751494941</v>
      </c>
      <c r="J17" s="44">
        <f ca="1">L5*COS(MZ!$V$36*PI()/180)-K5*SIN(MZ!$V$36*PI()/180)+Tool!$G$24-Tool!$W$10</f>
        <v>-693.29545891729799</v>
      </c>
      <c r="K17" s="44"/>
      <c r="L17" s="44"/>
      <c r="M17" s="44"/>
      <c r="N17" s="44"/>
      <c r="O17" s="44">
        <f ca="1">J17*SIN(-Tool!$G$22*PI()/180)+I17*COS(-Tool!$G$22*PI()/180)</f>
        <v>693.29545891729799</v>
      </c>
      <c r="P17" s="44">
        <f ca="1">J17*COS(-Tool!$G$22*PI()/180)-I17*SIN(-Tool!$G$22*PI()/180)</f>
        <v>423.29507751494936</v>
      </c>
      <c r="Q17" s="6">
        <f t="shared" si="1"/>
        <v>-273.87486079180667</v>
      </c>
      <c r="R17" s="6">
        <f>IF($R$8/$R$9&gt;(Tool!$W$11/SQRT(Tool!$W$16^2-Tool!$W$11^2)),$R$9/$R$6*COSH($R$6/$R$9*Q17+$R$10)+$R$11,Q17*Tool!$W$11/SQRT(Tool!$W$16^2-Tool!$W$11^2))</f>
        <v>-27.525459174461822</v>
      </c>
      <c r="S17" s="6">
        <f t="shared" si="2"/>
        <v>-23.363918326882008</v>
      </c>
      <c r="T17" s="5">
        <f t="shared" ca="1" si="3"/>
        <v>-89.794486379948978</v>
      </c>
      <c r="U17" s="5">
        <f t="shared" ca="1" si="0"/>
        <v>-8.9563378005314007</v>
      </c>
      <c r="V17" s="5"/>
      <c r="W17" s="8">
        <f ca="1">$O$29+$T41*SIN(RADIANS(MZ!$V$38-Tool!$G$22))</f>
        <v>481.647729458649</v>
      </c>
      <c r="X17" s="8"/>
      <c r="Y17" s="8">
        <f ca="1">$P$29+$T41*COS(RADIANS(MZ!$V$38-Tool!$G$22))</f>
        <v>211.64753875747465</v>
      </c>
      <c r="Z17" s="8">
        <f ca="1">$P$29+$T41*COS(RADIANS(MZ!$V$38-Tool!$G$22))</f>
        <v>211.64753875747465</v>
      </c>
      <c r="AA17" s="40"/>
      <c r="AB17" s="32"/>
      <c r="AC17" s="32">
        <f>AC12-25*SIN(RADIANS(Tool!$G$29-Tool!$G$22+90))</f>
        <v>-2260.8620835280412</v>
      </c>
      <c r="AD17" s="46">
        <f>AD12-25*COS(RADIANS(Tool!$G$29-Tool!$G$22+90))</f>
        <v>-14785.139908508139</v>
      </c>
      <c r="AE17" s="32"/>
    </row>
    <row r="18" spans="1:31" x14ac:dyDescent="0.25">
      <c r="A18" s="1">
        <v>0</v>
      </c>
      <c r="B18" s="1">
        <v>-2</v>
      </c>
      <c r="C18" s="1">
        <v>0</v>
      </c>
      <c r="D18" s="1">
        <v>22</v>
      </c>
      <c r="E18" s="1">
        <v>0</v>
      </c>
      <c r="F18" s="1">
        <v>-20</v>
      </c>
      <c r="G18" s="1">
        <v>10</v>
      </c>
      <c r="H18" s="1">
        <v>-20</v>
      </c>
      <c r="I18" s="44">
        <f ca="1">L6*SIN(MZ!$V$36*PI()/180)+K6*COS(MZ!$V$36*PI()/180)+Tool!$G$25</f>
        <v>421.17375303007458</v>
      </c>
      <c r="J18" s="44">
        <f ca="1">L6*COS(MZ!$V$36*PI()/180)-K6*SIN(MZ!$V$36*PI()/180)+Tool!$G$24-Tool!$W$10</f>
        <v>-702.487846117034</v>
      </c>
      <c r="K18" s="44"/>
      <c r="L18" s="44"/>
      <c r="M18" s="44"/>
      <c r="N18" s="44"/>
      <c r="O18" s="44">
        <f ca="1">J18*SIN(-Tool!$G$22*PI()/180)+I18*COS(-Tool!$G$22*PI()/180)</f>
        <v>702.487846117034</v>
      </c>
      <c r="P18" s="44">
        <f ca="1">J18*COS(-Tool!$G$22*PI()/180)-I18*SIN(-Tool!$G$22*PI()/180)</f>
        <v>421.17375303007452</v>
      </c>
      <c r="Q18" s="6">
        <f t="shared" si="1"/>
        <v>-365.16648105574222</v>
      </c>
      <c r="R18" s="6">
        <f>IF($R$8/$R$9&gt;(Tool!$W$11/SQRT(Tool!$W$16^2-Tool!$W$11^2)),$R$9/$R$6*COSH($R$6/$R$9*Q18+$R$10)+$R$11,Q18*Tool!$W$11/SQRT(Tool!$W$16^2-Tool!$W$11^2))</f>
        <v>-36.700612232615761</v>
      </c>
      <c r="S18" s="6">
        <f t="shared" si="2"/>
        <v>-31.151891102509346</v>
      </c>
      <c r="T18" s="5">
        <f t="shared" ca="1" si="3"/>
        <v>-119.72598183993196</v>
      </c>
      <c r="U18" s="5">
        <f t="shared" ca="1" si="0"/>
        <v>-11.237656413979039</v>
      </c>
      <c r="V18" s="5"/>
      <c r="W18" s="8">
        <f ca="1">$O$29+$T42*SIN(RADIANS(MZ!$V$38-Tool!$G$22))</f>
        <v>400.91030531838152</v>
      </c>
      <c r="X18" s="8">
        <f ca="1">$P$29+$T42*COS(RADIANS(MZ!$V$38-Tool!$G$22))</f>
        <v>130.91018736413258</v>
      </c>
      <c r="Y18" s="8">
        <f ca="1">$P$29+$T42*COS(RADIANS(MZ!$V$38-Tool!$G$22))</f>
        <v>130.91018736413258</v>
      </c>
      <c r="Z18" s="8"/>
      <c r="AA18" s="40"/>
      <c r="AB18" s="32"/>
      <c r="AC18" s="32">
        <f>AC13-25/SIN(RADIANS(-Tool!G29))*SIN(RADIANS(-Tool!$G$22))</f>
        <v>346.15699589143094</v>
      </c>
      <c r="AD18" s="46">
        <f>AD13-25/SIN(RADIANS(-Tool!G29))*COS(RADIANS(Tool!$G$22))</f>
        <v>-2.1204685433609806E-14</v>
      </c>
      <c r="AE18" s="32"/>
    </row>
    <row r="19" spans="1:31" x14ac:dyDescent="0.25">
      <c r="A19" s="1">
        <v>10</v>
      </c>
      <c r="B19" s="1">
        <v>-6</v>
      </c>
      <c r="C19" s="1">
        <v>10</v>
      </c>
      <c r="D19" s="1">
        <v>16</v>
      </c>
      <c r="E19" s="1">
        <v>20</v>
      </c>
      <c r="F19" s="1">
        <v>-40</v>
      </c>
      <c r="G19" s="1">
        <v>10</v>
      </c>
      <c r="H19" s="1">
        <v>-60</v>
      </c>
      <c r="I19" s="44">
        <f ca="1">L7*SIN(MZ!$V$36*PI()/180)+K7*COS(MZ!$V$36*PI()/180)+Tool!$G$25</f>
        <v>421.52730498713555</v>
      </c>
      <c r="J19" s="44">
        <f ca="1">L7*COS(MZ!$V$36*PI()/180)-K7*SIN(MZ!$V$36*PI()/180)+Tool!$G$24-Tool!$W$10</f>
        <v>-705.66982679165449</v>
      </c>
      <c r="K19" s="44"/>
      <c r="L19" s="44"/>
      <c r="M19" s="44"/>
      <c r="N19" s="44"/>
      <c r="O19" s="44">
        <f ca="1">J19*SIN(-Tool!$G$22*PI()/180)+I19*COS(-Tool!$G$22*PI()/180)</f>
        <v>705.66982679165449</v>
      </c>
      <c r="P19" s="44">
        <f ca="1">J19*COS(-Tool!$G$22*PI()/180)-I19*SIN(-Tool!$G$22*PI()/180)</f>
        <v>421.52730498713549</v>
      </c>
      <c r="Q19" s="6">
        <f t="shared" si="1"/>
        <v>-456.45810131967778</v>
      </c>
      <c r="R19" s="6">
        <f>IF($R$8/$R$9&gt;(Tool!$W$11/SQRT(Tool!$W$16^2-Tool!$W$11^2)),$R$9/$R$6*COSH($R$6/$R$9*Q19+$R$10)+$R$11,Q19*Tool!$W$11/SQRT(Tool!$W$16^2-Tool!$W$11^2))</f>
        <v>-45.875765290769706</v>
      </c>
      <c r="S19" s="6">
        <f t="shared" si="2"/>
        <v>-38.939863878136684</v>
      </c>
      <c r="T19" s="5">
        <f t="shared" ca="1" si="3"/>
        <v>-149.65747729991494</v>
      </c>
      <c r="U19" s="5">
        <f t="shared" ca="1" si="0"/>
        <v>-13.167473384334244</v>
      </c>
      <c r="V19" s="5"/>
      <c r="W19" s="8">
        <f ca="1">$O$29+$T43*SIN(RADIANS(MZ!$V$38-Tool!$G$22))</f>
        <v>269.99999999999966</v>
      </c>
      <c r="X19" s="8">
        <f ca="1">$P$29+$T43*COS(RADIANS(MZ!$V$38-Tool!$G$22))</f>
        <v>0</v>
      </c>
      <c r="Y19" s="8"/>
      <c r="Z19" s="8"/>
      <c r="AA19" s="40"/>
      <c r="AB19" s="32"/>
      <c r="AC19" s="32">
        <f>AC14-25/SIN(RADIANS(Tool!G28))*SIN(RADIANS(-Tool!$G$22))</f>
        <v>376.06601717798213</v>
      </c>
      <c r="AD19" s="46">
        <f>AD14-25/SIN(RADIANS(Tool!G28))*COS(RADIANS(Tool!$G$22))</f>
        <v>-2.3036834994462166E-14</v>
      </c>
      <c r="AE19" s="32"/>
    </row>
    <row r="20" spans="1:31" x14ac:dyDescent="0.25">
      <c r="A20" s="1">
        <v>20</v>
      </c>
      <c r="B20" s="1">
        <v>-14</v>
      </c>
      <c r="C20" s="1">
        <v>20</v>
      </c>
      <c r="D20" s="1">
        <v>4</v>
      </c>
      <c r="E20" s="1">
        <v>20</v>
      </c>
      <c r="F20" s="1">
        <v>-60</v>
      </c>
      <c r="G20" s="1"/>
      <c r="H20" s="1"/>
      <c r="I20" s="44">
        <f ca="1">L8*SIN(MZ!$V$36*PI()/180)+K8*COS(MZ!$V$36*PI()/180)+Tool!$G$25</f>
        <v>446.27603117896689</v>
      </c>
      <c r="J20" s="44">
        <f ca="1">L8*COS(MZ!$V$36*PI()/180)-K8*SIN(MZ!$V$36*PI()/180)+Tool!$G$24-Tool!$W$10</f>
        <v>-730.41857528287642</v>
      </c>
      <c r="K20" s="44"/>
      <c r="L20" s="44"/>
      <c r="M20" s="44"/>
      <c r="N20" s="44"/>
      <c r="O20" s="44">
        <f ca="1">J20*SIN(-Tool!$G$22*PI()/180)+I20*COS(-Tool!$G$22*PI()/180)</f>
        <v>730.41857528287642</v>
      </c>
      <c r="P20" s="44">
        <f ca="1">J20*COS(-Tool!$G$22*PI()/180)-I20*SIN(-Tool!$G$22*PI()/180)</f>
        <v>446.27603117896683</v>
      </c>
      <c r="Q20" s="6">
        <f t="shared" si="1"/>
        <v>-547.74972158361334</v>
      </c>
      <c r="R20" s="6">
        <f>IF($R$8/$R$9&gt;(Tool!$W$11/SQRT(Tool!$W$16^2-Tool!$W$11^2)),$R$9/$R$6*COSH($R$6/$R$9*Q20+$R$10)+$R$11,Q20*Tool!$W$11/SQRT(Tool!$W$16^2-Tool!$W$11^2))</f>
        <v>-55.050918348923645</v>
      </c>
      <c r="S20" s="6">
        <f t="shared" si="2"/>
        <v>-46.727836653764015</v>
      </c>
      <c r="T20" s="5">
        <f t="shared" ca="1" si="3"/>
        <v>-179.58897275989793</v>
      </c>
      <c r="U20" s="5">
        <f t="shared" ca="1" si="0"/>
        <v>-14.7460535404457</v>
      </c>
      <c r="V20" s="5"/>
      <c r="W20" s="40"/>
      <c r="X20" s="40"/>
      <c r="Y20" s="40"/>
      <c r="Z20" s="40"/>
      <c r="AA20" s="40"/>
      <c r="AB20" s="32"/>
      <c r="AC20" s="32">
        <f>AC15-25*SIN(RADIANS(Tool!$G$28-Tool!$G$22-90))</f>
        <v>10929.634726387201</v>
      </c>
      <c r="AD20" s="46">
        <f>AD15-25*COS(RADIANS(Tool!$G$28-Tool!$G$22-90))</f>
        <v>10553.568709209225</v>
      </c>
      <c r="AE20" s="32"/>
    </row>
    <row r="21" spans="1:31" x14ac:dyDescent="0.25">
      <c r="A21" s="1">
        <v>10</v>
      </c>
      <c r="B21" s="1">
        <v>-22</v>
      </c>
      <c r="C21" s="1">
        <v>10</v>
      </c>
      <c r="D21" s="1">
        <v>-8</v>
      </c>
      <c r="E21" s="1">
        <v>0</v>
      </c>
      <c r="F21" s="1">
        <v>-40</v>
      </c>
      <c r="G21" s="1">
        <v>-10</v>
      </c>
      <c r="H21" s="1">
        <v>-60</v>
      </c>
      <c r="I21" s="44">
        <f ca="1">L9*SIN(MZ!$V$36*PI()/180)+K9*COS(MZ!$V$36*PI()/180)+Tool!$G$25</f>
        <v>449.45801153502464</v>
      </c>
      <c r="J21" s="44">
        <f ca="1">L9*COS(MZ!$V$36*PI()/180)-K9*SIN(MZ!$V$36*PI()/180)+Tool!$G$24-Tool!$W$10</f>
        <v>-730.772130107002</v>
      </c>
      <c r="K21" s="44"/>
      <c r="L21" s="44"/>
      <c r="M21" s="44"/>
      <c r="N21" s="44"/>
      <c r="O21" s="44">
        <f ca="1">J21*SIN(-Tool!$G$22*PI()/180)+I21*COS(-Tool!$G$22*PI()/180)</f>
        <v>730.772130107002</v>
      </c>
      <c r="P21" s="44">
        <f ca="1">J21*COS(-Tool!$G$22*PI()/180)-I21*SIN(-Tool!$G$22*PI()/180)</f>
        <v>449.45801153502458</v>
      </c>
      <c r="Q21" s="6">
        <f t="shared" si="1"/>
        <v>-639.04134184754889</v>
      </c>
      <c r="R21" s="6">
        <f>IF($R$8/$R$9&gt;(Tool!$W$11/SQRT(Tool!$W$16^2-Tool!$W$11^2)),$R$9/$R$6*COSH($R$6/$R$9*Q21+$R$10)+$R$11,Q21*Tool!$W$11/SQRT(Tool!$W$16^2-Tool!$W$11^2))</f>
        <v>-64.226071407077583</v>
      </c>
      <c r="S21" s="6">
        <f t="shared" si="2"/>
        <v>-54.515809429391354</v>
      </c>
      <c r="T21" s="5">
        <f t="shared" ca="1" si="3"/>
        <v>-209.52046821988091</v>
      </c>
      <c r="U21" s="5">
        <f t="shared" ca="1" si="0"/>
        <v>-15.973613510923315</v>
      </c>
      <c r="V21" s="5"/>
      <c r="W21" s="40">
        <f>-Tool!$W$23*SIN(RADIANS(Tool!$W$22))+Tool!$W$21*G6</f>
        <v>-42.752517915708587</v>
      </c>
      <c r="X21" s="40" t="e">
        <f>IF((Tool!$W$20-Tool!$W$11)&gt;-Tool!$W$8,Tool!$W$23*COS(RADIANS(Tool!$W$22))+Tool!$W$21*H6,NA())</f>
        <v>#N/A</v>
      </c>
      <c r="Y21" s="40" t="e">
        <f>IF((Tool!$W$20-Tool!$W$11)&gt;-Tool!$W$20/2,Tool!$W$23*COS(RADIANS(Tool!$W$22))+Tool!$W$21*H6,NA())</f>
        <v>#N/A</v>
      </c>
      <c r="Z21" s="40">
        <f>IF((Tool!$W$20-Tool!$W$11)&lt;=Tool!$W$20/2,Tool!$W$23*COS(RADIANS(Tool!$W$22))+Tool!$W$21*H6,NA())</f>
        <v>127.46157759823855</v>
      </c>
      <c r="AA21" s="40"/>
      <c r="AB21" s="32"/>
      <c r="AC21" s="32"/>
      <c r="AD21" s="46"/>
      <c r="AE21" s="32"/>
    </row>
    <row r="22" spans="1:31" x14ac:dyDescent="0.25">
      <c r="A22" s="1">
        <v>0</v>
      </c>
      <c r="B22" s="1">
        <v>-26</v>
      </c>
      <c r="C22" s="1">
        <v>0</v>
      </c>
      <c r="D22" s="1">
        <v>-14</v>
      </c>
      <c r="E22" s="1">
        <v>0</v>
      </c>
      <c r="F22" s="1">
        <v>-40</v>
      </c>
      <c r="G22" s="1">
        <v>-10</v>
      </c>
      <c r="H22" s="1">
        <v>-20</v>
      </c>
      <c r="I22" s="44">
        <f ca="1">L10*SIN(MZ!$V$36*PI()/180)+K10*COS(MZ!$V$36*PI()/180)+Tool!$G$25</f>
        <v>458.65040064613703</v>
      </c>
      <c r="J22" s="44">
        <f ca="1">L10*COS(MZ!$V$36*PI()/180)-K10*SIN(MZ!$V$36*PI()/180)+Tool!$G$24-Tool!$W$10</f>
        <v>-728.65081390475802</v>
      </c>
      <c r="K22" s="44"/>
      <c r="L22" s="44"/>
      <c r="M22" s="44"/>
      <c r="N22" s="44"/>
      <c r="O22" s="44">
        <f ca="1">J22*SIN(-Tool!$G$22*PI()/180)+I22*COS(-Tool!$G$22*PI()/180)</f>
        <v>728.65081390475802</v>
      </c>
      <c r="P22" s="44">
        <f ca="1">J22*COS(-Tool!$G$22*PI()/180)-I22*SIN(-Tool!$G$22*PI()/180)</f>
        <v>458.65040064613697</v>
      </c>
      <c r="Q22" s="6">
        <f t="shared" si="1"/>
        <v>-730.33296211148445</v>
      </c>
      <c r="R22" s="6">
        <f>IF($R$8/$R$9&gt;(Tool!$W$11/SQRT(Tool!$W$16^2-Tool!$W$11^2)),$R$9/$R$6*COSH($R$6/$R$9*Q22+$R$10)+$R$11,Q22*Tool!$W$11/SQRT(Tool!$W$16^2-Tool!$W$11^2))</f>
        <v>-73.401224465231522</v>
      </c>
      <c r="S22" s="6">
        <f t="shared" si="2"/>
        <v>-62.303782205018692</v>
      </c>
      <c r="T22" s="5">
        <f t="shared" ca="1" si="3"/>
        <v>-239.45196367986389</v>
      </c>
      <c r="U22" s="5">
        <f t="shared" ca="1" si="0"/>
        <v>-16.850321753863682</v>
      </c>
      <c r="V22" s="5"/>
      <c r="W22" s="40">
        <f>-Tool!$W$23*SIN(RADIANS(Tool!$W$22))+Tool!$W$21*G7</f>
        <v>-35.681450103843112</v>
      </c>
      <c r="X22" s="40" t="e">
        <f>IF((Tool!$W$20-Tool!$W$11)&gt;-Tool!$W$8,Tool!$W$23*COS(RADIANS(Tool!$W$22))+Tool!$W$21*H7,NA())</f>
        <v>#N/A</v>
      </c>
      <c r="Y22" s="40" t="e">
        <f>IF((Tool!$W$20-Tool!$W$11)&gt;-Tool!$W$20/2,Tool!$W$23*COS(RADIANS(Tool!$W$22))+Tool!$W$21*H7,NA())</f>
        <v>#N/A</v>
      </c>
      <c r="Z22" s="40">
        <f>IF((Tool!$W$20-Tool!$W$11)&lt;=Tool!$W$20/2,Tool!$W$23*COS(RADIANS(Tool!$W$22))+Tool!$W$21*H7,NA())</f>
        <v>124.53264541010402</v>
      </c>
      <c r="AA22" s="40"/>
      <c r="AB22" s="32"/>
      <c r="AC22" s="32">
        <f>AC17-25*SIN(RADIANS(Tool!$G$29-Tool!$G$22+90))</f>
        <v>-2236.241889702736</v>
      </c>
      <c r="AD22" s="46">
        <f>AD17-25*COS(RADIANS(Tool!$G$29-Tool!$G$22+90))</f>
        <v>-14789.481112949812</v>
      </c>
      <c r="AE22" s="32"/>
    </row>
    <row r="23" spans="1:31" x14ac:dyDescent="0.25">
      <c r="A23" s="1">
        <v>-10</v>
      </c>
      <c r="B23" s="1">
        <v>-30</v>
      </c>
      <c r="C23" s="1">
        <v>-10</v>
      </c>
      <c r="D23" s="1">
        <v>-20</v>
      </c>
      <c r="E23" s="1">
        <v>0</v>
      </c>
      <c r="F23" s="1">
        <v>40</v>
      </c>
      <c r="G23" s="1"/>
      <c r="H23" s="1"/>
      <c r="I23" s="44">
        <f ca="1">L11*SIN(MZ!$V$36*PI()/180)+K11*COS(MZ!$V$36*PI()/180)+Tool!$G$25</f>
        <v>460.77172513101186</v>
      </c>
      <c r="J23" s="44">
        <f ca="1">L11*COS(MZ!$V$36*PI()/180)-K11*SIN(MZ!$V$36*PI()/180)+Tool!$G$24-Tool!$W$10</f>
        <v>-719.45842670502191</v>
      </c>
      <c r="K23" s="44"/>
      <c r="L23" s="48"/>
      <c r="M23" s="44"/>
      <c r="N23" s="44"/>
      <c r="O23" s="44">
        <f ca="1">J23*SIN(-Tool!$G$22*PI()/180)+I23*COS(-Tool!$G$22*PI()/180)</f>
        <v>719.45842670502191</v>
      </c>
      <c r="P23" s="44">
        <f ca="1">J23*COS(-Tool!$G$22*PI()/180)-I23*SIN(-Tool!$G$22*PI()/180)</f>
        <v>460.77172513101181</v>
      </c>
      <c r="Q23" s="6">
        <f t="shared" si="1"/>
        <v>-821.62458237542</v>
      </c>
      <c r="R23" s="6">
        <f>IF($R$8/$R$9&gt;(Tool!$W$11/SQRT(Tool!$W$16^2-Tool!$W$11^2)),$R$9/$R$6*COSH($R$6/$R$9*Q23+$R$10)+$R$11,Q23*Tool!$W$11/SQRT(Tool!$W$16^2-Tool!$W$11^2))</f>
        <v>-82.57637752338546</v>
      </c>
      <c r="S23" s="6">
        <f t="shared" si="2"/>
        <v>-70.09175498064603</v>
      </c>
      <c r="T23" s="5">
        <f t="shared" ca="1" si="3"/>
        <v>-269.38345913984688</v>
      </c>
      <c r="U23" s="5">
        <f t="shared" ca="1" si="0"/>
        <v>-17.376298579968989</v>
      </c>
      <c r="V23" s="5"/>
      <c r="W23" s="40">
        <f>-Tool!$W$23*SIN(RADIANS(Tool!$W$22))+Tool!$W$21*G8</f>
        <v>-32.752517915708587</v>
      </c>
      <c r="X23" s="40" t="e">
        <f>IF((Tool!$W$20-Tool!$W$11)&gt;-Tool!$W$8,Tool!$W$23*COS(RADIANS(Tool!$W$22))+Tool!$W$21*H8,NA())</f>
        <v>#N/A</v>
      </c>
      <c r="Y23" s="40" t="e">
        <f>IF((Tool!$W$20-Tool!$W$11)&gt;-Tool!$W$20/2,Tool!$W$23*COS(RADIANS(Tool!$W$22))+Tool!$W$21*H8,NA())</f>
        <v>#N/A</v>
      </c>
      <c r="Z23" s="40">
        <f>IF((Tool!$W$20-Tool!$W$11)&lt;=Tool!$W$20/2,Tool!$W$23*COS(RADIANS(Tool!$W$22))+Tool!$W$21*H8,NA())</f>
        <v>117.46157759823855</v>
      </c>
      <c r="AA23" s="40"/>
      <c r="AB23" s="32"/>
      <c r="AC23" s="32">
        <f>AC18-25/SIN(RADIANS(-Tool!G29))*SIN(RADIANS(-Tool!$G$22))</f>
        <v>371.54266118857458</v>
      </c>
      <c r="AD23" s="46">
        <f>AD18-25/SIN(RADIANS(-Tool!G29))*COS(RADIANS(Tool!$G$22))</f>
        <v>-2.2759745864390952E-14</v>
      </c>
      <c r="AE23" s="32"/>
    </row>
    <row r="24" spans="1:31" x14ac:dyDescent="0.25">
      <c r="A24" s="1">
        <v>-20</v>
      </c>
      <c r="B24" s="1">
        <v>-38</v>
      </c>
      <c r="C24" s="1">
        <v>-20</v>
      </c>
      <c r="D24" s="1">
        <v>-32</v>
      </c>
      <c r="E24" s="1">
        <v>20</v>
      </c>
      <c r="F24" s="1">
        <v>40</v>
      </c>
      <c r="G24" s="1">
        <v>0</v>
      </c>
      <c r="H24" s="1">
        <v>-60</v>
      </c>
      <c r="I24" s="44">
        <f ca="1">L12*SIN(MZ!$V$36*PI()/180)+K12*COS(MZ!$V$36*PI()/180)+Tool!$G$25</f>
        <v>460.41817317395083</v>
      </c>
      <c r="J24" s="44">
        <f ca="1">L12*COS(MZ!$V$36*PI()/180)-K12*SIN(MZ!$V$36*PI()/180)+Tool!$G$24-Tool!$W$10</f>
        <v>-716.27644603040153</v>
      </c>
      <c r="K24" s="44"/>
      <c r="L24" s="48"/>
      <c r="M24" s="44"/>
      <c r="N24" s="44"/>
      <c r="O24" s="44">
        <f ca="1">J24*SIN(-Tool!$G$22*PI()/180)+I24*COS(-Tool!$G$22*PI()/180)</f>
        <v>716.27644603040153</v>
      </c>
      <c r="P24" s="44">
        <f ca="1">J24*COS(-Tool!$G$22*PI()/180)-I24*SIN(-Tool!$G$22*PI()/180)</f>
        <v>460.41817317395078</v>
      </c>
      <c r="Q24" s="6">
        <f t="shared" si="1"/>
        <v>-912.91620263935556</v>
      </c>
      <c r="R24" s="6">
        <f>IF($R$8/$R$9&gt;(Tool!$W$11/SQRT(Tool!$W$16^2-Tool!$W$11^2)),$R$9/$R$6*COSH($R$6/$R$9*Q24+$R$10)+$R$11,Q24*Tool!$W$11/SQRT(Tool!$W$16^2-Tool!$W$11^2))</f>
        <v>-91.751530581539413</v>
      </c>
      <c r="S24" s="6">
        <f t="shared" si="2"/>
        <v>-77.879727756273368</v>
      </c>
      <c r="T24" s="5">
        <f t="shared" ca="1" si="3"/>
        <v>-299.31495459982989</v>
      </c>
      <c r="U24" s="5">
        <f ca="1">$U$9/$U$6*COSH($U$6/$U$9*T24+$U$10)+$U$11</f>
        <v>-17.551616169057979</v>
      </c>
      <c r="V24" s="5"/>
      <c r="W24" s="40">
        <f>-Tool!$W$23*SIN(RADIANS(Tool!$W$22))+Tool!$W$21*G9</f>
        <v>-35.681450103843112</v>
      </c>
      <c r="X24" s="40" t="e">
        <f>IF((Tool!$W$20-Tool!$W$11)&gt;-Tool!$W$8,Tool!$W$23*COS(RADIANS(Tool!$W$22))+Tool!$W$21*H9,NA())</f>
        <v>#N/A</v>
      </c>
      <c r="Y24" s="40" t="e">
        <f>IF((Tool!$W$20-Tool!$W$11)&gt;-Tool!$W$20/2,Tool!$W$23*COS(RADIANS(Tool!$W$22))+Tool!$W$21*H9,NA())</f>
        <v>#N/A</v>
      </c>
      <c r="Z24" s="40">
        <f>IF((Tool!$W$20-Tool!$W$11)&lt;=Tool!$W$20/2,Tool!$W$23*COS(RADIANS(Tool!$W$22))+Tool!$W$21*H9,NA())</f>
        <v>110.39050978637307</v>
      </c>
      <c r="AA24" s="40"/>
      <c r="AB24" s="32"/>
      <c r="AC24" s="32">
        <f>AC19-25/SIN(RADIANS(Tool!G28))*SIN(RADIANS(-Tool!$G$22))</f>
        <v>411.42135623730951</v>
      </c>
      <c r="AD24" s="46">
        <f>AD19-25/SIN(RADIANS(Tool!G28))*COS(RADIANS(Tool!$G$22))</f>
        <v>-2.5202611945527431E-14</v>
      </c>
      <c r="AE24" s="32"/>
    </row>
    <row r="25" spans="1:31" x14ac:dyDescent="0.25">
      <c r="A25" s="1">
        <v>-10</v>
      </c>
      <c r="B25" s="1">
        <v>-46</v>
      </c>
      <c r="C25" s="1">
        <v>-10</v>
      </c>
      <c r="D25" s="1">
        <v>-44</v>
      </c>
      <c r="E25" s="1">
        <v>0</v>
      </c>
      <c r="F25" s="1">
        <v>60</v>
      </c>
      <c r="G25" s="1">
        <v>0</v>
      </c>
      <c r="H25" s="1">
        <v>40</v>
      </c>
      <c r="I25" s="44">
        <f ca="1">L13*SIN(MZ!$V$36*PI()/180)+K13*COS(MZ!$V$36*PI()/180)+Tool!$G$25</f>
        <v>435.6694469821195</v>
      </c>
      <c r="J25" s="44">
        <f ca="1">L13*COS(MZ!$V$36*PI()/180)-K13*SIN(MZ!$V$36*PI()/180)+Tool!$G$24-Tool!$W$10</f>
        <v>-691.52769753917948</v>
      </c>
      <c r="K25" s="44"/>
      <c r="L25" s="48"/>
      <c r="M25" s="44"/>
      <c r="N25" s="44"/>
      <c r="O25" s="44">
        <f ca="1">J25*SIN(-Tool!$G$22*PI()/180)+I25*COS(-Tool!$G$22*PI()/180)</f>
        <v>691.52769753917948</v>
      </c>
      <c r="P25" s="44">
        <f ca="1">J25*COS(-Tool!$G$22*PI()/180)-I25*SIN(-Tool!$G$22*PI()/180)</f>
        <v>435.66944698211944</v>
      </c>
      <c r="Q25" s="6">
        <f t="shared" si="1"/>
        <v>-1004.2078229032911</v>
      </c>
      <c r="R25" s="6">
        <f>IF($R$8/$R$9&gt;(Tool!$W$11/SQRT(Tool!$W$16^2-Tool!$W$11^2)),$R$9/$R$6*COSH($R$6/$R$9*Q25+$R$10)+$R$11,Q25*Tool!$W$11/SQRT(Tool!$W$16^2-Tool!$W$11^2))</f>
        <v>-100.92668363969334</v>
      </c>
      <c r="S25" s="6">
        <f t="shared" si="2"/>
        <v>-85.667700531900692</v>
      </c>
      <c r="T25" s="5">
        <f t="shared" ca="1" si="3"/>
        <v>-329.2464500598129</v>
      </c>
      <c r="U25" s="5">
        <f t="shared" ca="1" si="0"/>
        <v>-17.376298579968989</v>
      </c>
      <c r="V25" s="5"/>
      <c r="W25" s="40">
        <f>-Tool!$W$23*SIN(RADIANS(Tool!$W$22))+Tool!$W$21*G10</f>
        <v>-42.752517915708587</v>
      </c>
      <c r="X25" s="40" t="e">
        <f>IF((Tool!$W$20-Tool!$W$11)&gt;-Tool!$W$8,Tool!$W$23*COS(RADIANS(Tool!$W$22))+Tool!$W$21*H10,NA())</f>
        <v>#N/A</v>
      </c>
      <c r="Y25" s="40" t="e">
        <f>IF((Tool!$W$20-Tool!$W$11)&gt;-Tool!$W$20/2,Tool!$W$23*COS(RADIANS(Tool!$W$22))+Tool!$W$21*H10,NA())</f>
        <v>#N/A</v>
      </c>
      <c r="Z25" s="40">
        <f>IF((Tool!$W$20-Tool!$W$11)&lt;=Tool!$W$20/2,Tool!$W$23*COS(RADIANS(Tool!$W$22))+Tool!$W$21*H10,NA())</f>
        <v>107.46157759823855</v>
      </c>
      <c r="AA25" s="40"/>
      <c r="AB25" s="34"/>
      <c r="AC25" s="32">
        <f>AC20-25*SIN(RADIANS(Tool!$G$28-Tool!$G$22-90))</f>
        <v>10947.312395916864</v>
      </c>
      <c r="AD25" s="46">
        <f>AD20-25*COS(RADIANS(Tool!$G$28-Tool!$G$22-90))</f>
        <v>10535.891039679562</v>
      </c>
      <c r="AE25" s="32"/>
    </row>
    <row r="26" spans="1:31" x14ac:dyDescent="0.25">
      <c r="A26" s="1">
        <v>0</v>
      </c>
      <c r="B26" s="1">
        <v>-50</v>
      </c>
      <c r="C26" s="1">
        <v>0</v>
      </c>
      <c r="D26" s="1">
        <v>-50</v>
      </c>
      <c r="E26" s="1">
        <v>-20</v>
      </c>
      <c r="F26" s="1">
        <v>40</v>
      </c>
      <c r="G26" s="1">
        <v>20</v>
      </c>
      <c r="H26" s="1">
        <v>40</v>
      </c>
      <c r="I26" s="44">
        <f ca="1">L14*SIN(MZ!$V$36*PI()/180)+K14*COS(MZ!$V$36*PI()/180)+Tool!$G$25</f>
        <v>432.4874666260618</v>
      </c>
      <c r="J26" s="44">
        <f ca="1">L14*COS(MZ!$V$36*PI()/180)-K14*SIN(MZ!$V$36*PI()/180)+Tool!$G$24-Tool!$W$10</f>
        <v>-691.17414271505402</v>
      </c>
      <c r="K26" s="44"/>
      <c r="L26" s="48"/>
      <c r="M26" s="44"/>
      <c r="N26" s="44"/>
      <c r="O26" s="44">
        <f ca="1">J26*SIN(-Tool!$G$22*PI()/180)+I26*COS(-Tool!$G$22*PI()/180)</f>
        <v>691.17414271505402</v>
      </c>
      <c r="P26" s="44">
        <f ca="1">J26*COS(-Tool!$G$22*PI()/180)-I26*SIN(-Tool!$G$22*PI()/180)</f>
        <v>432.48746662606175</v>
      </c>
      <c r="Q26" s="6">
        <f t="shared" si="1"/>
        <v>-1095.4994431672267</v>
      </c>
      <c r="R26" s="6">
        <f>IF($R$8/$R$9&gt;(Tool!$W$11/SQRT(Tool!$W$16^2-Tool!$W$11^2)),$R$9/$R$6*COSH($R$6/$R$9*Q26+$R$10)+$R$11,Q26*Tool!$W$11/SQRT(Tool!$W$16^2-Tool!$W$11^2))</f>
        <v>-110.10183669784729</v>
      </c>
      <c r="S26" s="6">
        <f t="shared" si="2"/>
        <v>-93.455673307528031</v>
      </c>
      <c r="T26" s="5">
        <f t="shared" ca="1" si="3"/>
        <v>-359.17794551979591</v>
      </c>
      <c r="U26" s="5">
        <f t="shared" ca="1" si="0"/>
        <v>-16.850321753863682</v>
      </c>
      <c r="V26" s="5"/>
      <c r="W26" s="40">
        <f>-Tool!$W$23*SIN(RADIANS(Tool!$W$22))+Tool!$W$21*G11</f>
        <v>-49.823585727574063</v>
      </c>
      <c r="X26" s="40" t="e">
        <f>IF((Tool!$W$20-Tool!$W$11)&gt;-Tool!$W$8,Tool!$W$23*COS(RADIANS(Tool!$W$22))+Tool!$W$21*H11,NA())</f>
        <v>#N/A</v>
      </c>
      <c r="Y26" s="40" t="e">
        <f>IF((Tool!$W$20-Tool!$W$11)&gt;-Tool!$W$20/2,Tool!$W$23*COS(RADIANS(Tool!$W$22))+Tool!$W$21*H11,NA())</f>
        <v>#N/A</v>
      </c>
      <c r="Z26" s="40">
        <f>IF((Tool!$W$20-Tool!$W$11)&lt;=Tool!$W$20/2,Tool!$W$23*COS(RADIANS(Tool!$W$22))+Tool!$W$21*H11,NA())</f>
        <v>110.39050978637307</v>
      </c>
      <c r="AA26" s="40"/>
      <c r="AB26" s="34"/>
      <c r="AC26" s="32"/>
      <c r="AD26" s="46"/>
      <c r="AE26" s="32"/>
    </row>
    <row r="27" spans="1:31" x14ac:dyDescent="0.25">
      <c r="A27" s="1">
        <v>0</v>
      </c>
      <c r="B27" s="1">
        <v>50</v>
      </c>
      <c r="C27" s="1">
        <v>0</v>
      </c>
      <c r="D27" s="1">
        <v>50</v>
      </c>
      <c r="E27" s="1">
        <v>0</v>
      </c>
      <c r="F27" s="1">
        <v>40</v>
      </c>
      <c r="G27" s="1">
        <v>0</v>
      </c>
      <c r="H27" s="1">
        <v>60</v>
      </c>
      <c r="I27" s="44">
        <f ca="1">L15*SIN(MZ!$V$36*PI()/180)+K15*COS(MZ!$V$36*PI()/180)+Tool!$G$25</f>
        <v>423.29507751494941</v>
      </c>
      <c r="J27" s="44">
        <f ca="1">L15*COS(MZ!$V$36*PI()/180)-K15*SIN(MZ!$V$36*PI()/180)+Tool!$G$24-Tool!$W$10</f>
        <v>-693.29545891729799</v>
      </c>
      <c r="K27" s="44"/>
      <c r="L27" s="48"/>
      <c r="M27" s="44"/>
      <c r="N27" s="44"/>
      <c r="O27" s="44">
        <f ca="1">J27*SIN(-Tool!$G$22*PI()/180)+I27*COS(-Tool!$G$22*PI()/180)</f>
        <v>693.29545891729799</v>
      </c>
      <c r="P27" s="44">
        <f ca="1">J27*COS(-Tool!$G$22*PI()/180)-I27*SIN(-Tool!$G$22*PI()/180)</f>
        <v>423.29507751494936</v>
      </c>
      <c r="Q27" s="6">
        <f t="shared" si="1"/>
        <v>-1186.7910634311622</v>
      </c>
      <c r="R27" s="6">
        <f>IF($R$8/$R$9&gt;(Tool!$W$11/SQRT(Tool!$W$16^2-Tool!$W$11^2)),$R$9/$R$6*COSH($R$6/$R$9*Q27+$R$10)+$R$11,Q27*Tool!$W$11/SQRT(Tool!$W$16^2-Tool!$W$11^2))</f>
        <v>-119.27698975600123</v>
      </c>
      <c r="S27" s="6">
        <f t="shared" si="2"/>
        <v>-101.24364608315537</v>
      </c>
      <c r="T27" s="5">
        <f t="shared" ca="1" si="3"/>
        <v>-389.10944097977892</v>
      </c>
      <c r="U27" s="5">
        <f t="shared" ca="1" si="0"/>
        <v>-15.973613510923315</v>
      </c>
      <c r="V27" s="5"/>
      <c r="W27" s="40">
        <f>-Tool!$W$23*SIN(RADIANS(Tool!$W$22))+Tool!$W$21*G12</f>
        <v>-52.752517915708587</v>
      </c>
      <c r="X27" s="40" t="e">
        <f>IF((Tool!$W$20-Tool!$W$11)&gt;-Tool!$W$8,Tool!$W$23*COS(RADIANS(Tool!$W$22))+Tool!$W$21*H12,NA())</f>
        <v>#N/A</v>
      </c>
      <c r="Y27" s="40" t="e">
        <f>IF((Tool!$W$20-Tool!$W$11)&gt;-Tool!$W$20/2,Tool!$W$23*COS(RADIANS(Tool!$W$22))+Tool!$W$21*H12,NA())</f>
        <v>#N/A</v>
      </c>
      <c r="Z27" s="40">
        <f>IF((Tool!$W$20-Tool!$W$11)&lt;=Tool!$W$20/2,Tool!$W$23*COS(RADIANS(Tool!$W$22))+Tool!$W$21*H12,NA())</f>
        <v>117.46157759823855</v>
      </c>
      <c r="AA27" s="40"/>
      <c r="AB27" s="34"/>
      <c r="AC27" s="32">
        <f>AC22-25*SIN(RADIANS(Tool!$G$29-Tool!$G$22+90))</f>
        <v>-2211.6216958774307</v>
      </c>
      <c r="AD27" s="46">
        <f>AD22-25*COS(RADIANS(Tool!$G$29-Tool!$G$22+90))</f>
        <v>-14793.822317391485</v>
      </c>
      <c r="AE27" s="32"/>
    </row>
    <row r="28" spans="1:31" x14ac:dyDescent="0.25">
      <c r="A28" s="1">
        <v>20</v>
      </c>
      <c r="B28" s="1">
        <v>30</v>
      </c>
      <c r="C28" s="1">
        <v>20</v>
      </c>
      <c r="D28" s="1">
        <v>30</v>
      </c>
      <c r="E28" s="1"/>
      <c r="F28" s="1"/>
      <c r="G28" s="1">
        <v>-20</v>
      </c>
      <c r="H28" s="1">
        <v>40</v>
      </c>
      <c r="I28" s="44"/>
      <c r="J28" s="44"/>
      <c r="K28" s="44"/>
      <c r="L28" s="48"/>
      <c r="M28" s="44"/>
      <c r="N28" s="44"/>
      <c r="O28" s="44"/>
      <c r="P28" s="44"/>
      <c r="Q28" s="6">
        <f t="shared" si="1"/>
        <v>-1278.0826836950978</v>
      </c>
      <c r="R28" s="6">
        <f>IF($R$8/$R$9&gt;(Tool!$W$11/SQRT(Tool!$W$16^2-Tool!$W$11^2)),$R$9/$R$6*COSH($R$6/$R$9*Q28+$R$10)+$R$11,Q28*Tool!$W$11/SQRT(Tool!$W$16^2-Tool!$W$11^2))</f>
        <v>-128.45214281415517</v>
      </c>
      <c r="S28" s="6">
        <f t="shared" si="2"/>
        <v>-109.03161885878271</v>
      </c>
      <c r="T28" s="5">
        <f t="shared" ca="1" si="3"/>
        <v>-419.04093643976194</v>
      </c>
      <c r="U28" s="5">
        <f t="shared" ca="1" si="0"/>
        <v>-14.7460535404457</v>
      </c>
      <c r="V28" s="5"/>
      <c r="W28" s="40">
        <f>-Tool!$W$23*SIN(RADIANS(Tool!$W$22))+Tool!$W$21*G13</f>
        <v>-49.823585727574063</v>
      </c>
      <c r="X28" s="40" t="e">
        <f>IF((Tool!$W$20-Tool!$W$11)&gt;-Tool!$W$8,Tool!$W$23*COS(RADIANS(Tool!$W$22))+Tool!$W$21*H13,NA())</f>
        <v>#N/A</v>
      </c>
      <c r="Y28" s="40" t="e">
        <f>IF((Tool!$W$20-Tool!$W$11)&gt;-Tool!$W$20/2,Tool!$W$23*COS(RADIANS(Tool!$W$22))+Tool!$W$21*H13,NA())</f>
        <v>#N/A</v>
      </c>
      <c r="Z28" s="40">
        <f>IF((Tool!$W$20-Tool!$W$11)&lt;=Tool!$W$20/2,Tool!$W$23*COS(RADIANS(Tool!$W$22))+Tool!$W$21*H13,NA())</f>
        <v>124.53264541010402</v>
      </c>
      <c r="AA28" s="40"/>
      <c r="AB28" s="34"/>
      <c r="AC28" s="32">
        <f>AC23-25/SIN(RADIANS(-Tool!G29))*SIN(RADIANS(-Tool!$G$22))</f>
        <v>396.92832648571823</v>
      </c>
      <c r="AD28" s="46">
        <f>AD23-25/SIN(RADIANS(-Tool!G29))*COS(RADIANS(Tool!$G$22))</f>
        <v>-2.4314806295172097E-14</v>
      </c>
      <c r="AE28" s="32"/>
    </row>
    <row r="29" spans="1:31" x14ac:dyDescent="0.25">
      <c r="A29" s="1">
        <v>-20</v>
      </c>
      <c r="B29" s="1">
        <v>30</v>
      </c>
      <c r="C29" s="1">
        <v>-20</v>
      </c>
      <c r="D29" s="1">
        <v>30</v>
      </c>
      <c r="E29" s="1"/>
      <c r="F29" s="1"/>
      <c r="G29" s="1">
        <v>0</v>
      </c>
      <c r="H29" s="1">
        <v>40</v>
      </c>
      <c r="I29" s="44">
        <f ca="1">L5*SIN(MZ!$V$38*PI()/180)+K5*COS(MZ!$V$38*PI()/180)+Tool!$G$25</f>
        <v>423.29507751494941</v>
      </c>
      <c r="J29" s="44">
        <f ca="1">L5*COS(MZ!$V$38*PI()/180)-K5*SIN(MZ!$V$38*PI()/180)+Tool!$G$24-Tool!$W$10</f>
        <v>-693.29545891729799</v>
      </c>
      <c r="K29" s="44"/>
      <c r="L29" s="48"/>
      <c r="M29" s="44"/>
      <c r="N29" s="44"/>
      <c r="O29" s="44">
        <f ca="1">J29*SIN(-Tool!$G$22*PI()/180)+I29*COS(-Tool!$G$22*PI()/180)</f>
        <v>693.29545891729799</v>
      </c>
      <c r="P29" s="44">
        <f ca="1">J29*COS(-Tool!$G$22*PI()/180)-I29*SIN(-Tool!$G$22*PI()/180)</f>
        <v>423.29507751494936</v>
      </c>
      <c r="Q29" s="6">
        <f t="shared" si="1"/>
        <v>-1369.3743039590333</v>
      </c>
      <c r="R29" s="6">
        <f>IF($R$8/$R$9&gt;(Tool!$W$11/SQRT(Tool!$W$16^2-Tool!$W$11^2)),$R$9/$R$6*COSH($R$6/$R$9*Q29+$R$10)+$R$11,Q29*Tool!$W$11/SQRT(Tool!$W$16^2-Tool!$W$11^2))</f>
        <v>-137.62729587230911</v>
      </c>
      <c r="S29" s="6">
        <f t="shared" si="2"/>
        <v>-116.81959163441005</v>
      </c>
      <c r="T29" s="5">
        <f t="shared" ca="1" si="3"/>
        <v>-448.97243189974495</v>
      </c>
      <c r="U29" s="5">
        <f t="shared" ca="1" si="0"/>
        <v>-13.167473384334244</v>
      </c>
      <c r="V29" s="5"/>
      <c r="W29" s="40">
        <f>-Tool!$W$23*SIN(RADIANS(Tool!$W$22))+Tool!$W$21*G14</f>
        <v>-42.752517915708587</v>
      </c>
      <c r="X29" s="40" t="e">
        <f>IF((Tool!$W$20-Tool!$W$11)&gt;-Tool!$W$8,Tool!$W$23*COS(RADIANS(Tool!$W$22))+Tool!$W$21*H14,NA())</f>
        <v>#N/A</v>
      </c>
      <c r="Y29" s="40" t="e">
        <f>IF((Tool!$W$20-Tool!$W$11)&gt;-Tool!$W$20/2,Tool!$W$23*COS(RADIANS(Tool!$W$22))+Tool!$W$21*H14,NA())</f>
        <v>#N/A</v>
      </c>
      <c r="Z29" s="40">
        <f>IF((Tool!$W$20-Tool!$W$11)&lt;=Tool!$W$20/2,Tool!$W$23*COS(RADIANS(Tool!$W$22))+Tool!$W$21*H14,NA())</f>
        <v>127.46157759823855</v>
      </c>
      <c r="AA29" s="40"/>
      <c r="AB29" s="34"/>
      <c r="AC29" s="32">
        <f>AC24-25/SIN(RADIANS(Tool!G28))*SIN(RADIANS(-Tool!$G$22))</f>
        <v>446.77669529663689</v>
      </c>
      <c r="AD29" s="46">
        <f>AD24-25/SIN(RADIANS(Tool!G28))*COS(RADIANS(Tool!$G$22))</f>
        <v>-2.7368388896592696E-14</v>
      </c>
      <c r="AE29" s="32"/>
    </row>
    <row r="30" spans="1:31" x14ac:dyDescent="0.25">
      <c r="A30" s="1">
        <v>0</v>
      </c>
      <c r="B30" s="1">
        <v>50</v>
      </c>
      <c r="C30" s="1">
        <v>0</v>
      </c>
      <c r="D30" s="1">
        <v>50</v>
      </c>
      <c r="E30" s="1"/>
      <c r="F30" s="1"/>
      <c r="G30" s="1"/>
      <c r="H30" s="1"/>
      <c r="I30" s="44">
        <f ca="1">L6*SIN(MZ!$V$38*PI()/180)+K6*COS(MZ!$V$38*PI()/180)+Tool!$G$25</f>
        <v>421.17375303007458</v>
      </c>
      <c r="J30" s="44">
        <f ca="1">L6*COS(MZ!$V$38*PI()/180)-K6*SIN(MZ!$V$38*PI()/180)+Tool!$G$24-Tool!$W$10</f>
        <v>-702.487846117034</v>
      </c>
      <c r="K30" s="44"/>
      <c r="L30" s="48"/>
      <c r="M30" s="44"/>
      <c r="N30" s="44"/>
      <c r="O30" s="44">
        <f ca="1">J30*SIN(-Tool!$G$22*PI()/180)+I30*COS(-Tool!$G$22*PI()/180)</f>
        <v>702.487846117034</v>
      </c>
      <c r="P30" s="44">
        <f ca="1">J30*COS(-Tool!$G$22*PI()/180)-I30*SIN(-Tool!$G$22*PI()/180)</f>
        <v>421.17375303007452</v>
      </c>
      <c r="Q30" s="6">
        <f t="shared" si="1"/>
        <v>-1460.6659242229689</v>
      </c>
      <c r="R30" s="6">
        <f>IF($R$8/$R$9&gt;(Tool!$W$11/SQRT(Tool!$W$16^2-Tool!$W$11^2)),$R$9/$R$6*COSH($R$6/$R$9*Q30+$R$10)+$R$11,Q30*Tool!$W$11/SQRT(Tool!$W$16^2-Tool!$W$11^2))</f>
        <v>-146.80244893046304</v>
      </c>
      <c r="S30" s="6">
        <f t="shared" si="2"/>
        <v>-124.60756441003738</v>
      </c>
      <c r="T30" s="5">
        <f t="shared" ca="1" si="3"/>
        <v>-478.90392735972796</v>
      </c>
      <c r="U30" s="5">
        <f t="shared" ca="1" si="0"/>
        <v>-11.237656413979494</v>
      </c>
      <c r="V30" s="5"/>
      <c r="W30" s="40"/>
      <c r="X30" s="40"/>
      <c r="Y30" s="40"/>
      <c r="Z30" s="40"/>
      <c r="AA30" s="40"/>
      <c r="AB30" s="34"/>
      <c r="AC30" s="32">
        <f>AC25-25*SIN(RADIANS(Tool!$G$28-Tool!$G$22-90))</f>
        <v>10964.990065446527</v>
      </c>
      <c r="AD30" s="46">
        <f>AD25-25*COS(RADIANS(Tool!$G$28-Tool!$G$22-90))</f>
        <v>10518.213370149899</v>
      </c>
      <c r="AE30" s="32"/>
    </row>
    <row r="31" spans="1:31" x14ac:dyDescent="0.25">
      <c r="A31" s="1"/>
      <c r="B31" s="1">
        <f>180-Tool!G5</f>
        <v>135</v>
      </c>
      <c r="C31" s="1"/>
      <c r="D31" s="1">
        <f>180-Tool!G9</f>
        <v>90</v>
      </c>
      <c r="E31" s="1"/>
      <c r="F31" s="1">
        <f>180-Tool!G11</f>
        <v>180</v>
      </c>
      <c r="G31" s="1"/>
      <c r="H31" s="1">
        <f>-Tool!G13</f>
        <v>-170</v>
      </c>
      <c r="I31" s="44">
        <f ca="1">L7*SIN(MZ!$V$38*PI()/180)+K7*COS(MZ!$V$38*PI()/180)+Tool!$G$25</f>
        <v>421.52730498713555</v>
      </c>
      <c r="J31" s="44">
        <f ca="1">L7*COS(MZ!$V$38*PI()/180)-K7*SIN(MZ!$V$38*PI()/180)+Tool!$G$24-Tool!$W$10</f>
        <v>-705.66982679165449</v>
      </c>
      <c r="K31" s="44"/>
      <c r="L31" s="48"/>
      <c r="M31" s="44"/>
      <c r="N31" s="44"/>
      <c r="O31" s="44">
        <f ca="1">J31*SIN(-Tool!$G$22*PI()/180)+I31*COS(-Tool!$G$22*PI()/180)</f>
        <v>705.66982679165449</v>
      </c>
      <c r="P31" s="44">
        <f ca="1">J31*COS(-Tool!$G$22*PI()/180)-I31*SIN(-Tool!$G$22*PI()/180)</f>
        <v>421.52730498713549</v>
      </c>
      <c r="Q31" s="6">
        <f t="shared" si="1"/>
        <v>-1551.9575444869045</v>
      </c>
      <c r="R31" s="6">
        <f>IF($R$8/$R$9&gt;(Tool!$W$11/SQRT(Tool!$W$16^2-Tool!$W$11^2)),$R$9/$R$6*COSH($R$6/$R$9*Q31+$R$10)+$R$11,Q31*Tool!$W$11/SQRT(Tool!$W$16^2-Tool!$W$11^2))</f>
        <v>-155.97760198861698</v>
      </c>
      <c r="S31" s="6">
        <f t="shared" si="2"/>
        <v>-132.39553718566472</v>
      </c>
      <c r="T31" s="5">
        <f t="shared" ca="1" si="3"/>
        <v>-508.83542281971097</v>
      </c>
      <c r="U31" s="5">
        <f t="shared" ca="1" si="0"/>
        <v>-8.9563378005314007</v>
      </c>
      <c r="V31" s="5"/>
      <c r="W31" s="40">
        <f>-Tool!$W$27*SIN(RADIANS(Tool!$W$26))+Tool!$W$25*G6</f>
        <v>-187.93852415718166</v>
      </c>
      <c r="X31" s="40" t="e">
        <f>IF((Tool!$W$24-Tool!$W$11)&gt;-Tool!$W$8,Tool!$W$27*COS(RADIANS(Tool!$W$26))+Tool!$W$25*H6,NA())</f>
        <v>#N/A</v>
      </c>
      <c r="Y31" s="40" t="e">
        <f>IF((Tool!$W$24-Tool!$W$11)&gt;-Tool!$W$24/2,Tool!$W$27*COS(RADIANS(Tool!$W$26))+Tool!$W$25*H6,NA())</f>
        <v>#N/A</v>
      </c>
      <c r="Z31" s="40">
        <f>IF((Tool!$W$24-Tool!$W$11)&lt;=Tool!$W$24/2,Tool!$W$27*COS(RADIANS(Tool!$W$26))+Tool!$W$25*H6,NA())</f>
        <v>83.404028665133765</v>
      </c>
      <c r="AA31" s="40"/>
      <c r="AB31" s="34"/>
      <c r="AC31" s="32"/>
      <c r="AD31" s="46"/>
      <c r="AE31" s="32"/>
    </row>
    <row r="32" spans="1:31" x14ac:dyDescent="0.25">
      <c r="A32" s="1"/>
      <c r="B32" s="1" t="str">
        <f>CONCATENATE("Hs1=",Tool!$G$2,"m")</f>
        <v>Hs1=1.5m</v>
      </c>
      <c r="C32" s="1"/>
      <c r="D32" s="1" t="str">
        <f>IF(Tool!$G$6&gt;0,CONCATENATE("Hs2=",Tool!$G$6,"m"),"")</f>
        <v>Hs2=1m</v>
      </c>
      <c r="E32" s="1"/>
      <c r="F32" s="1" t="str">
        <f>CONCATENATE("Vw=",Tool!$G$10,"kn")</f>
        <v>Vw=20kn</v>
      </c>
      <c r="G32" s="1"/>
      <c r="H32" s="1" t="str">
        <f>CONCATENATE("Vc=",Tool!$G$12,"kn")</f>
        <v>Vc=1kn</v>
      </c>
      <c r="I32" s="44">
        <f ca="1">L8*SIN(MZ!$V$38*PI()/180)+K8*COS(MZ!$V$38*PI()/180)+Tool!$G$25</f>
        <v>446.27603117896689</v>
      </c>
      <c r="J32" s="44">
        <f ca="1">L8*COS(MZ!$V$38*PI()/180)-K8*SIN(MZ!$V$38*PI()/180)+Tool!$G$24-Tool!$W$10</f>
        <v>-730.41857528287642</v>
      </c>
      <c r="K32" s="44"/>
      <c r="L32" s="49"/>
      <c r="M32" s="44"/>
      <c r="N32" s="44"/>
      <c r="O32" s="44">
        <f ca="1">J32*SIN(-Tool!$G$22*PI()/180)+I32*COS(-Tool!$G$22*PI()/180)</f>
        <v>730.41857528287642</v>
      </c>
      <c r="P32" s="44">
        <f ca="1">J32*COS(-Tool!$G$22*PI()/180)-I32*SIN(-Tool!$G$22*PI()/180)</f>
        <v>446.27603117896683</v>
      </c>
      <c r="Q32" s="6">
        <f t="shared" si="1"/>
        <v>-1643.24916475084</v>
      </c>
      <c r="R32" s="6">
        <f>IF($R$8/$R$9&gt;(Tool!$W$11/SQRT(Tool!$W$16^2-Tool!$W$11^2)),$R$9/$R$6*COSH($R$6/$R$9*Q32+$R$10)+$R$11,Q32*Tool!$W$11/SQRT(Tool!$W$16^2-Tool!$W$11^2))</f>
        <v>-165.15275504677092</v>
      </c>
      <c r="S32" s="6">
        <f t="shared" si="2"/>
        <v>-140.18350996129206</v>
      </c>
      <c r="T32" s="5">
        <f t="shared" ca="1" si="3"/>
        <v>-538.76691827969398</v>
      </c>
      <c r="U32" s="5">
        <f t="shared" ca="1" si="0"/>
        <v>-6.323204478558182</v>
      </c>
      <c r="V32" s="5"/>
      <c r="W32" s="40">
        <f>-Tool!$W$27*SIN(RADIANS(Tool!$W$26))+Tool!$W$25*G7</f>
        <v>-177.33192243938345</v>
      </c>
      <c r="X32" s="40" t="e">
        <f>IF((Tool!$W$24-Tool!$W$11)&gt;-Tool!$W$8,Tool!$W$27*COS(RADIANS(Tool!$W$26))+Tool!$W$25*H7,NA())</f>
        <v>#N/A</v>
      </c>
      <c r="Y32" s="40" t="e">
        <f>IF((Tool!$W$24-Tool!$W$11)&gt;-Tool!$W$24/2,Tool!$W$27*COS(RADIANS(Tool!$W$26))+Tool!$W$25*H7,NA())</f>
        <v>#N/A</v>
      </c>
      <c r="Z32" s="40">
        <f>IF((Tool!$W$24-Tool!$W$11)&lt;=Tool!$W$24/2,Tool!$W$27*COS(RADIANS(Tool!$W$26))+Tool!$W$25*H7,NA())</f>
        <v>79.010630382931978</v>
      </c>
      <c r="AA32" s="40"/>
      <c r="AB32" s="34"/>
      <c r="AC32" s="32">
        <f>AC27-25*SIN(RADIANS(Tool!$G$29-Tool!$G$22+90))</f>
        <v>-2187.0015020521255</v>
      </c>
      <c r="AD32" s="46">
        <f>AD27-25*COS(RADIANS(Tool!$G$29-Tool!$G$22+90))</f>
        <v>-14798.163521833158</v>
      </c>
      <c r="AE32" s="32"/>
    </row>
    <row r="33" spans="1:31" x14ac:dyDescent="0.25">
      <c r="A33" s="42">
        <f t="shared" ref="A33" si="4">B18*SIN(RADIANS($B$31))+A18*COS(RADIANS($B$31))-870</f>
        <v>-871.41421356237311</v>
      </c>
      <c r="B33" s="42">
        <f>B18*COS(RADIANS($B$31))-A18*SIN(RADIANS($B$31))-125</f>
        <v>-123.58578643762691</v>
      </c>
      <c r="C33" s="42">
        <f>D18*SIN(RADIANS($D$31))+C18*COS(RADIANS($D$31))-875</f>
        <v>-853</v>
      </c>
      <c r="D33" s="42">
        <f>D18*COS(RADIANS($D$31))-C18*SIN(RADIANS($D$31))-375</f>
        <v>-375</v>
      </c>
      <c r="E33" s="42">
        <f t="shared" ref="E33" si="5">F18*SIN(RADIANS($F$31))+E18*COS(RADIANS($F$31))-875</f>
        <v>-875</v>
      </c>
      <c r="F33" s="42">
        <f>F18*COS(RADIANS($F$31))-E18*SIN(RADIANS($F$31))-625</f>
        <v>-605</v>
      </c>
      <c r="G33" s="42">
        <f>H18*SIN(RADIANS($H$31))+G18*COS(RADIANS($H$31))-875</f>
        <v>-881.3751139767835</v>
      </c>
      <c r="H33" s="42">
        <f>H18*COS(RADIANS($H$31))-G18*SIN(RADIANS($H$31))-875</f>
        <v>-853.5673631630865</v>
      </c>
      <c r="I33" s="44">
        <f ca="1">L9*SIN(MZ!$V$38*PI()/180)+K9*COS(MZ!$V$38*PI()/180)+Tool!$G$25</f>
        <v>449.45801153502464</v>
      </c>
      <c r="J33" s="44">
        <f ca="1">L9*COS(MZ!$V$38*PI()/180)-K9*SIN(MZ!$V$38*PI()/180)+Tool!$G$24-Tool!$W$10</f>
        <v>-730.772130107002</v>
      </c>
      <c r="K33" s="44"/>
      <c r="L33" s="48"/>
      <c r="M33" s="44"/>
      <c r="N33" s="44"/>
      <c r="O33" s="44">
        <f ca="1">J33*SIN(-Tool!$G$22*PI()/180)+I33*COS(-Tool!$G$22*PI()/180)</f>
        <v>730.772130107002</v>
      </c>
      <c r="P33" s="44">
        <f ca="1">J33*COS(-Tool!$G$22*PI()/180)-I33*SIN(-Tool!$G$22*PI()/180)</f>
        <v>449.45801153502458</v>
      </c>
      <c r="Q33" s="6">
        <f t="shared" si="1"/>
        <v>-1734.5407850147756</v>
      </c>
      <c r="R33" s="6">
        <f>IF($R$8/$R$9&gt;(Tool!$W$11/SQRT(Tool!$W$16^2-Tool!$W$11^2)),$R$9/$R$6*COSH($R$6/$R$9*Q33+$R$10)+$R$11,Q33*Tool!$W$11/SQRT(Tool!$W$16^2-Tool!$W$11^2))</f>
        <v>-174.32790810492486</v>
      </c>
      <c r="S33" s="6">
        <f t="shared" si="2"/>
        <v>-147.9714827369194</v>
      </c>
      <c r="T33" s="5">
        <f t="shared" ca="1" si="3"/>
        <v>-568.69841373967699</v>
      </c>
      <c r="U33" s="5">
        <f t="shared" ca="1" si="0"/>
        <v>-3.3378951030840653</v>
      </c>
      <c r="V33" s="5"/>
      <c r="W33" s="40">
        <f>-Tool!$W$27*SIN(RADIANS(Tool!$W$26))+Tool!$W$25*G8</f>
        <v>-172.93852415718166</v>
      </c>
      <c r="X33" s="40" t="e">
        <f>IF((Tool!$W$24-Tool!$W$11)&gt;-Tool!$W$8,Tool!$W$27*COS(RADIANS(Tool!$W$26))+Tool!$W$25*H8,NA())</f>
        <v>#N/A</v>
      </c>
      <c r="Y33" s="40" t="e">
        <f>IF((Tool!$W$24-Tool!$W$11)&gt;-Tool!$W$24/2,Tool!$W$27*COS(RADIANS(Tool!$W$26))+Tool!$W$25*H8,NA())</f>
        <v>#N/A</v>
      </c>
      <c r="Z33" s="40">
        <f>IF((Tool!$W$24-Tool!$W$11)&lt;=Tool!$W$24/2,Tool!$W$27*COS(RADIANS(Tool!$W$26))+Tool!$W$25*H8,NA())</f>
        <v>68.404028665133765</v>
      </c>
      <c r="AA33" s="40"/>
      <c r="AB33" s="34"/>
      <c r="AC33" s="32">
        <f>AC28-25/SIN(RADIANS(-Tool!G29))*SIN(RADIANS(-Tool!$G$22))</f>
        <v>422.31399178286188</v>
      </c>
      <c r="AD33" s="46">
        <f>AD28-25/SIN(RADIANS(-Tool!G29))*COS(RADIANS(Tool!$G$22))</f>
        <v>-2.5869866725953243E-14</v>
      </c>
      <c r="AE33" s="32"/>
    </row>
    <row r="34" spans="1:31" x14ac:dyDescent="0.25">
      <c r="A34" s="42">
        <f>IF(Tool!$G$2&lt;0.01,A33,B19*SIN(RADIANS($B$31))+A19*COS(RADIANS($B$31))-870)</f>
        <v>-881.31370849898474</v>
      </c>
      <c r="B34" s="42">
        <f>IF(Tool!$G$2&lt;0.01,B33,B19*COS(RADIANS($B$31))-A19*SIN(RADIANS($B$31))-125)</f>
        <v>-127.82842712474618</v>
      </c>
      <c r="C34" s="42">
        <f>IF(Tool!$G$6&lt;0.01,C33,D19*SIN(RADIANS($D$31))+C19*COS(RADIANS($D$31))-875)</f>
        <v>-859</v>
      </c>
      <c r="D34" s="42">
        <f>IF(Tool!$G$6&lt;0.01,D33,D19*COS(RADIANS($D$31))-C19*SIN(RADIANS($D$31))-375)</f>
        <v>-385</v>
      </c>
      <c r="E34" s="42">
        <f>IF(Tool!$G$10&lt;0.01,E33,F19*SIN(RADIANS($F$31))+E19*COS(RADIANS($F$31))-875)</f>
        <v>-895</v>
      </c>
      <c r="F34" s="42">
        <f>IF(Tool!$G$10&lt;0.01,F33,F19*COS(RADIANS($F$31))-E19*SIN(RADIANS($F$31))-625)</f>
        <v>-585</v>
      </c>
      <c r="G34" s="42">
        <f>IF(Tool!$G$12&lt;0.01,$G$33,H19*SIN(RADIANS($H$31))+G19*COS(RADIANS($H$31))-875)</f>
        <v>-874.42918687010626</v>
      </c>
      <c r="H34" s="42">
        <f>IF(Tool!$G$12&lt;0.01,$H$33,H19*COS(RADIANS($H$31))-G19*SIN(RADIANS($H$31))-875)</f>
        <v>-814.17505304259817</v>
      </c>
      <c r="I34" s="44">
        <f ca="1">L10*SIN(MZ!$V$38*PI()/180)+K10*COS(MZ!$V$38*PI()/180)+Tool!$G$25</f>
        <v>458.65040064613703</v>
      </c>
      <c r="J34" s="44">
        <f ca="1">L10*COS(MZ!$V$38*PI()/180)-K10*SIN(MZ!$V$38*PI()/180)+Tool!$G$24-Tool!$W$10</f>
        <v>-728.65081390475802</v>
      </c>
      <c r="K34" s="44"/>
      <c r="L34" s="49"/>
      <c r="M34" s="44"/>
      <c r="N34" s="44"/>
      <c r="O34" s="44">
        <f ca="1">J34*SIN(-Tool!$G$22*PI()/180)+I34*COS(-Tool!$G$22*PI()/180)</f>
        <v>728.65081390475802</v>
      </c>
      <c r="P34" s="44">
        <f ca="1">J34*COS(-Tool!$G$22*PI()/180)-I34*SIN(-Tool!$G$22*PI()/180)</f>
        <v>458.65040064613697</v>
      </c>
      <c r="Q34" s="6">
        <f t="shared" si="1"/>
        <v>-1825.8324052787111</v>
      </c>
      <c r="R34" s="6">
        <f>IF($R$8/$R$9&gt;(Tool!$W$11/SQRT(Tool!$W$16^2-Tool!$W$11^2)),$R$9/$R$6*COSH($R$6/$R$9*Q34+$R$10)+$R$11,Q34*Tool!$W$11/SQRT(Tool!$W$16^2-Tool!$W$11^2))</f>
        <v>-183.50306116307883</v>
      </c>
      <c r="S34" s="6">
        <f t="shared" si="2"/>
        <v>-155.75945551254674</v>
      </c>
      <c r="T34" s="5">
        <f t="shared" ca="1" si="3"/>
        <v>-598.62990919966001</v>
      </c>
      <c r="U34" s="5">
        <f t="shared" ca="1" si="0"/>
        <v>0</v>
      </c>
      <c r="V34" s="5"/>
      <c r="W34" s="40">
        <f>-Tool!$W$27*SIN(RADIANS(Tool!$W$26))+Tool!$W$25*G9</f>
        <v>-177.33192243938345</v>
      </c>
      <c r="X34" s="40" t="e">
        <f>IF((Tool!$W$24-Tool!$W$11)&gt;-Tool!$W$8,Tool!$W$27*COS(RADIANS(Tool!$W$26))+Tool!$W$25*H9,NA())</f>
        <v>#N/A</v>
      </c>
      <c r="Y34" s="40" t="e">
        <f>IF((Tool!$W$24-Tool!$W$11)&gt;-Tool!$W$24/2,Tool!$W$27*COS(RADIANS(Tool!$W$26))+Tool!$W$25*H9,NA())</f>
        <v>#N/A</v>
      </c>
      <c r="Z34" s="40">
        <f>IF((Tool!$W$24-Tool!$W$11)&lt;=Tool!$W$24/2,Tool!$W$27*COS(RADIANS(Tool!$W$26))+Tool!$W$25*H9,NA())</f>
        <v>57.797426947335552</v>
      </c>
      <c r="AA34" s="40"/>
      <c r="AB34" s="34"/>
      <c r="AC34" s="32">
        <f>AC29-25/SIN(RADIANS(Tool!G28))*SIN(RADIANS(-Tool!$G$22))</f>
        <v>482.13203435596427</v>
      </c>
      <c r="AD34" s="46">
        <f>AD29-25/SIN(RADIANS(Tool!G28))*COS(RADIANS(Tool!$G$22))</f>
        <v>-2.9534165847657961E-14</v>
      </c>
      <c r="AE34" s="32"/>
    </row>
    <row r="35" spans="1:31" x14ac:dyDescent="0.25">
      <c r="A35" s="42">
        <f>IF(Tool!$G$2&lt;0.01,A34,B20*SIN(RADIANS($B$31))+A20*COS(RADIANS($B$31))-870)</f>
        <v>-894.04163056034258</v>
      </c>
      <c r="B35" s="42">
        <f>IF(Tool!$G$2&lt;0.01,B34,B20*COS(RADIANS($B$31))-A20*SIN(RADIANS($B$31))-125)</f>
        <v>-129.24264068711929</v>
      </c>
      <c r="C35" s="42">
        <f>IF(Tool!$G$6&lt;0.01,C34,D20*SIN(RADIANS($D$31))+C20*COS(RADIANS($D$31))-875)</f>
        <v>-871</v>
      </c>
      <c r="D35" s="42">
        <f>IF(Tool!$G$6&lt;0.01,D34,D20*COS(RADIANS($D$31))-C20*SIN(RADIANS($D$31))-375)</f>
        <v>-395</v>
      </c>
      <c r="E35" s="42">
        <f>IF(Tool!$G$10&lt;0.01,E34,F20*SIN(RADIANS($F$31))+E20*COS(RADIANS($F$31))-875)</f>
        <v>-895</v>
      </c>
      <c r="F35" s="42">
        <f>IF(Tool!$G$10&lt;0.01,F34,F20*COS(RADIANS($F$31))-E20*SIN(RADIANS($F$31))-625)</f>
        <v>-565</v>
      </c>
      <c r="G35" s="42"/>
      <c r="H35" s="42"/>
      <c r="I35" s="44">
        <f ca="1">L11*SIN(MZ!$V$38*PI()/180)+K11*COS(MZ!$V$38*PI()/180)+Tool!$G$25</f>
        <v>460.77172513101186</v>
      </c>
      <c r="J35" s="44">
        <f ca="1">L11*COS(MZ!$V$38*PI()/180)-K11*SIN(MZ!$V$38*PI()/180)+Tool!$G$24-Tool!$W$10</f>
        <v>-719.45842670502191</v>
      </c>
      <c r="K35" s="44"/>
      <c r="L35" s="44"/>
      <c r="M35" s="44"/>
      <c r="N35" s="44"/>
      <c r="O35" s="44">
        <f ca="1">J35*SIN(-Tool!$G$22*PI()/180)+I35*COS(-Tool!$G$22*PI()/180)</f>
        <v>719.45842670502191</v>
      </c>
      <c r="P35" s="44">
        <f ca="1">J35*COS(-Tool!$G$22*PI()/180)-I35*SIN(-Tool!$G$22*PI()/180)</f>
        <v>460.77172513101181</v>
      </c>
      <c r="Q35" s="6"/>
      <c r="R35" s="6"/>
      <c r="S35" s="6"/>
      <c r="T35" s="5"/>
      <c r="U35" s="5"/>
      <c r="V35" s="5"/>
      <c r="W35" s="40">
        <f>-Tool!$W$27*SIN(RADIANS(Tool!$W$26))+Tool!$W$25*G10</f>
        <v>-187.93852415718166</v>
      </c>
      <c r="X35" s="40" t="e">
        <f>IF((Tool!$W$24-Tool!$W$11)&gt;-Tool!$W$8,Tool!$W$27*COS(RADIANS(Tool!$W$26))+Tool!$W$25*H10,NA())</f>
        <v>#N/A</v>
      </c>
      <c r="Y35" s="40" t="e">
        <f>IF((Tool!$W$24-Tool!$W$11)&gt;-Tool!$W$24/2,Tool!$W$27*COS(RADIANS(Tool!$W$26))+Tool!$W$25*H10,NA())</f>
        <v>#N/A</v>
      </c>
      <c r="Z35" s="40">
        <f>IF((Tool!$W$24-Tool!$W$11)&lt;=Tool!$W$24/2,Tool!$W$27*COS(RADIANS(Tool!$W$26))+Tool!$W$25*H10,NA())</f>
        <v>53.404028665133765</v>
      </c>
      <c r="AA35" s="40"/>
      <c r="AB35" s="34"/>
      <c r="AC35" s="32">
        <f>AC30-25*SIN(RADIANS(Tool!$G$28-Tool!$G$22-90))</f>
        <v>10982.66773497619</v>
      </c>
      <c r="AD35" s="46">
        <f>AD30-25*COS(RADIANS(Tool!$G$28-Tool!$G$22-90))</f>
        <v>10500.535700620236</v>
      </c>
      <c r="AE35" s="32"/>
    </row>
    <row r="36" spans="1:31" x14ac:dyDescent="0.25">
      <c r="A36" s="42">
        <f>IF(Tool!$G$2&lt;0.01,A35,B21*SIN(RADIANS($B$31))+A21*COS(RADIANS($B$31))-870)</f>
        <v>-892.62741699796948</v>
      </c>
      <c r="B36" s="42">
        <f>IF(Tool!$G$2&lt;0.01,B35,B21*COS(RADIANS($B$31))-A21*SIN(RADIANS($B$31))-125)</f>
        <v>-116.51471862576143</v>
      </c>
      <c r="C36" s="42">
        <f>IF(Tool!$G$6&lt;0.01,C35,D21*SIN(RADIANS($D$31))+C21*COS(RADIANS($D$31))-875)</f>
        <v>-883</v>
      </c>
      <c r="D36" s="42">
        <f>IF(Tool!$G$6&lt;0.01,D35,D21*COS(RADIANS($D$31))-C21*SIN(RADIANS($D$31))-375)</f>
        <v>-385</v>
      </c>
      <c r="E36" s="42">
        <f>IF(Tool!$G$10&lt;0.01,E35,F21*SIN(RADIANS($F$31))+E21*COS(RADIANS($F$31))-875)</f>
        <v>-875</v>
      </c>
      <c r="F36" s="42">
        <f>IF(Tool!$G$10&lt;0.01,F35,F21*COS(RADIANS($F$31))-E21*SIN(RADIANS($F$31))-625)</f>
        <v>-585</v>
      </c>
      <c r="G36" s="42">
        <f>IF(Tool!$G$12&lt;0.01,$G$33,H21*SIN(RADIANS($H$31))+G21*COS(RADIANS($H$31))-875)</f>
        <v>-854.73303180986215</v>
      </c>
      <c r="H36" s="42">
        <f>IF(Tool!$G$12&lt;0.01,$H$33,H21*COS(RADIANS($H$31))-G21*SIN(RADIANS($H$31))-875)</f>
        <v>-817.64801659593684</v>
      </c>
      <c r="I36" s="44">
        <f ca="1">L12*SIN(MZ!$V$38*PI()/180)+K12*COS(MZ!$V$38*PI()/180)+Tool!$G$25</f>
        <v>460.41817317395083</v>
      </c>
      <c r="J36" s="44">
        <f ca="1">L12*COS(MZ!$V$38*PI()/180)-K12*SIN(MZ!$V$38*PI()/180)+Tool!$G$24-Tool!$W$10</f>
        <v>-716.27644603040153</v>
      </c>
      <c r="K36" s="44"/>
      <c r="L36" s="44"/>
      <c r="M36" s="44"/>
      <c r="N36" s="44"/>
      <c r="O36" s="44">
        <f ca="1">J36*SIN(-Tool!$G$22*PI()/180)+I36*COS(-Tool!$G$22*PI()/180)</f>
        <v>716.27644603040153</v>
      </c>
      <c r="P36" s="44">
        <f ca="1">J36*COS(-Tool!$G$22*PI()/180)-I36*SIN(-Tool!$G$22*PI()/180)</f>
        <v>460.41817317395078</v>
      </c>
      <c r="Q36" s="6" t="s">
        <v>195</v>
      </c>
      <c r="R36" s="6" t="s">
        <v>196</v>
      </c>
      <c r="S36" s="6"/>
      <c r="T36" s="5" t="s">
        <v>195</v>
      </c>
      <c r="U36" s="5" t="s">
        <v>196</v>
      </c>
      <c r="V36" s="5"/>
      <c r="W36" s="40">
        <f>-Tool!$W$27*SIN(RADIANS(Tool!$W$26))+Tool!$W$25*G11</f>
        <v>-198.54512587497987</v>
      </c>
      <c r="X36" s="40" t="e">
        <f>IF((Tool!$W$24-Tool!$W$11)&gt;-Tool!$W$8,Tool!$W$27*COS(RADIANS(Tool!$W$26))+Tool!$W$25*H11,NA())</f>
        <v>#N/A</v>
      </c>
      <c r="Y36" s="40" t="e">
        <f>IF((Tool!$W$24-Tool!$W$11)&gt;-Tool!$W$24/2,Tool!$W$27*COS(RADIANS(Tool!$W$26))+Tool!$W$25*H11,NA())</f>
        <v>#N/A</v>
      </c>
      <c r="Z36" s="40">
        <f>IF((Tool!$W$24-Tool!$W$11)&lt;=Tool!$W$24/2,Tool!$W$27*COS(RADIANS(Tool!$W$26))+Tool!$W$25*H11,NA())</f>
        <v>57.797426947335552</v>
      </c>
      <c r="AA36" s="40"/>
      <c r="AB36" s="32"/>
      <c r="AC36" s="32"/>
      <c r="AD36" s="32"/>
      <c r="AE36" s="32"/>
    </row>
    <row r="37" spans="1:31" x14ac:dyDescent="0.25">
      <c r="A37" s="42">
        <f>IF(Tool!$G$2&lt;0.01,A36,B22*SIN(RADIANS($B$31))+A22*COS(RADIANS($B$31))-870)</f>
        <v>-888.38477631085027</v>
      </c>
      <c r="B37" s="42">
        <f>IF(Tool!$G$2&lt;0.01,B36,B22*COS(RADIANS($B$31))-A22*SIN(RADIANS($B$31))-125)</f>
        <v>-106.61522368914976</v>
      </c>
      <c r="C37" s="42">
        <f>IF(Tool!$G$6&lt;0.01,C36,D22*SIN(RADIANS($D$31))+C22*COS(RADIANS($D$31))-875)</f>
        <v>-889</v>
      </c>
      <c r="D37" s="42">
        <f>IF(Tool!$G$6&lt;0.01,D36,D22*COS(RADIANS($D$31))-C22*SIN(RADIANS($D$31))-375)</f>
        <v>-375</v>
      </c>
      <c r="E37" s="42">
        <f>IF(Tool!$G$10&lt;0.01,E36,F22*SIN(RADIANS($F$31))+E22*COS(RADIANS($F$31))-875)</f>
        <v>-875</v>
      </c>
      <c r="F37" s="42">
        <f>IF(Tool!$G$10&lt;0.01,F36,F22*COS(RADIANS($F$31))-E22*SIN(RADIANS($F$31))-625)</f>
        <v>-585</v>
      </c>
      <c r="G37" s="42">
        <f>IF(Tool!$G$12&lt;0.01,$G$33,H22*SIN(RADIANS($H$31))+G22*COS(RADIANS($H$31))-875)</f>
        <v>-861.67895891653927</v>
      </c>
      <c r="H37" s="42">
        <f>IF(Tool!$G$12&lt;0.01,$H$33,H22*COS(RADIANS($H$31))-G22*SIN(RADIANS($H$31))-875)</f>
        <v>-857.04032671642517</v>
      </c>
      <c r="I37" s="44">
        <f ca="1">L13*SIN(MZ!$V$38*PI()/180)+K13*COS(MZ!$V$38*PI()/180)+Tool!$G$25</f>
        <v>435.6694469821195</v>
      </c>
      <c r="J37" s="44">
        <f ca="1">L13*COS(MZ!$V$38*PI()/180)-K13*SIN(MZ!$V$38*PI()/180)+Tool!$G$24-Tool!$W$10</f>
        <v>-691.52769753917948</v>
      </c>
      <c r="K37" s="44"/>
      <c r="L37" s="44"/>
      <c r="M37" s="44"/>
      <c r="N37" s="44"/>
      <c r="O37" s="44">
        <f ca="1">J37*SIN(-Tool!$G$22*PI()/180)+I37*COS(-Tool!$G$22*PI()/180)</f>
        <v>691.52769753917948</v>
      </c>
      <c r="P37" s="44">
        <f ca="1">J37*COS(-Tool!$G$22*PI()/180)-I37*SIN(-Tool!$G$22*PI()/180)</f>
        <v>435.66944698211944</v>
      </c>
      <c r="Q37" s="6">
        <f>IF($R$8/$R$9&gt;$R$12,(-LN((R37-$R$11)/($R$9/$R$6)-SQRT(((R37-$R$11)/($R$9/$R$6))^2-1))-$R$10)/($R$6/$R$9),R37/$R$12)</f>
        <v>1.4978526917061833E-11</v>
      </c>
      <c r="R37" s="6">
        <v>0</v>
      </c>
      <c r="S37" s="6"/>
      <c r="T37" s="5">
        <v>0</v>
      </c>
      <c r="U37" s="5">
        <v>0</v>
      </c>
      <c r="V37" s="5"/>
      <c r="W37" s="40">
        <f>-Tool!$W$27*SIN(RADIANS(Tool!$W$26))+Tool!$W$25*G12</f>
        <v>-202.93852415718166</v>
      </c>
      <c r="X37" s="40" t="e">
        <f>IF((Tool!$W$24-Tool!$W$11)&gt;-Tool!$W$8,Tool!$W$27*COS(RADIANS(Tool!$W$26))+Tool!$W$25*H12,NA())</f>
        <v>#N/A</v>
      </c>
      <c r="Y37" s="40" t="e">
        <f>IF((Tool!$W$24-Tool!$W$11)&gt;-Tool!$W$24/2,Tool!$W$27*COS(RADIANS(Tool!$W$26))+Tool!$W$25*H12,NA())</f>
        <v>#N/A</v>
      </c>
      <c r="Z37" s="40">
        <f>IF((Tool!$W$24-Tool!$W$11)&lt;=Tool!$W$24/2,Tool!$W$27*COS(RADIANS(Tool!$W$26))+Tool!$W$25*H12,NA())</f>
        <v>68.404028665133765</v>
      </c>
      <c r="AA37" s="40"/>
      <c r="AB37" s="32"/>
      <c r="AC37" s="32">
        <f>AC32-25*SIN(RADIANS(Tool!$G$29-Tool!$G$22+90))</f>
        <v>-2162.3813082268202</v>
      </c>
      <c r="AD37" s="46">
        <f>AD32-25*COS(RADIANS(Tool!$G$29-Tool!$G$22+90))</f>
        <v>-14802.50472627483</v>
      </c>
      <c r="AE37" s="32"/>
    </row>
    <row r="38" spans="1:31" x14ac:dyDescent="0.25">
      <c r="A38" s="42">
        <f>IF(Tool!$G$2&lt;0.01,A37,B23*SIN(RADIANS($B$31))+A23*COS(RADIANS($B$31))-870)</f>
        <v>-884.14213562373095</v>
      </c>
      <c r="B38" s="42">
        <f>IF(Tool!$G$2&lt;0.01,B37,B23*COS(RADIANS($B$31))-A23*SIN(RADIANS($B$31))-125)</f>
        <v>-96.715728752538098</v>
      </c>
      <c r="C38" s="42">
        <f>IF(Tool!$G$6&lt;0.01,C37,D23*SIN(RADIANS($D$31))+C23*COS(RADIANS($D$31))-875)</f>
        <v>-895</v>
      </c>
      <c r="D38" s="42">
        <f>IF(Tool!$G$6&lt;0.01,D37,D23*COS(RADIANS($D$31))-C23*SIN(RADIANS($D$31))-375)</f>
        <v>-365</v>
      </c>
      <c r="E38" s="42">
        <f>IF(Tool!$G$10&lt;0.01,E37,F23*SIN(RADIANS($F$31))+E23*COS(RADIANS($F$31))-875)</f>
        <v>-875</v>
      </c>
      <c r="F38" s="42">
        <f>IF(Tool!$G$10&lt;0.01,F37,F23*COS(RADIANS($F$31))-E23*SIN(RADIANS($F$31))-625)</f>
        <v>-665</v>
      </c>
      <c r="G38" s="42"/>
      <c r="H38" s="42"/>
      <c r="I38" s="44">
        <f ca="1">L14*SIN(MZ!$V$38*PI()/180)+K14*COS(MZ!$V$38*PI()/180)+Tool!$G$25</f>
        <v>432.4874666260618</v>
      </c>
      <c r="J38" s="44">
        <f ca="1">L14*COS(MZ!$V$38*PI()/180)-K14*SIN(MZ!$V$38*PI()/180)+Tool!$G$24-Tool!$W$10</f>
        <v>-691.17414271505402</v>
      </c>
      <c r="K38" s="44"/>
      <c r="L38" s="44"/>
      <c r="M38" s="44"/>
      <c r="N38" s="44"/>
      <c r="O38" s="44">
        <f ca="1">J38*SIN(-Tool!$G$22*PI()/180)+I38*COS(-Tool!$G$22*PI()/180)</f>
        <v>691.17414271505402</v>
      </c>
      <c r="P38" s="44">
        <f ca="1">J38*COS(-Tool!$G$22*PI()/180)-I38*SIN(-Tool!$G$22*PI()/180)</f>
        <v>432.48746662606175</v>
      </c>
      <c r="Q38" s="6">
        <f>IF($R$8/$R$9&gt;$R$12,(-LN((R38-$R$11)/($R$9/$R$6)-SQRT(((R38-$R$11)/($R$9/$R$6))^2-1))-$R$10)/($R$6/$R$9),R38/$R$12)</f>
        <v>1.4978526917061833E-11</v>
      </c>
      <c r="R38" s="6">
        <f>IF(ABS(Tool!W10)&lt;ABS(Tool!W6/2),0,-Tool!W8)</f>
        <v>0</v>
      </c>
      <c r="S38" s="6"/>
      <c r="T38" s="8">
        <f ca="1">IF(U38&lt;MIN(U14:U34),0,(-LN((U38-$U$11)/($U$9/$U$6)-SQRT(((U38-$U$11)/($U$9/$U$6))^2-1))-$U$10)/($U$6/$U$9))</f>
        <v>-185.13504582942736</v>
      </c>
      <c r="U38" s="5">
        <f>-Tool!W8</f>
        <v>-15</v>
      </c>
      <c r="V38" s="5"/>
      <c r="W38" s="40">
        <f>-Tool!$W$27*SIN(RADIANS(Tool!$W$26))+Tool!$W$25*G13</f>
        <v>-198.54512587497987</v>
      </c>
      <c r="X38" s="40" t="e">
        <f>IF((Tool!$W$24-Tool!$W$11)&gt;-Tool!$W$8,Tool!$W$27*COS(RADIANS(Tool!$W$26))+Tool!$W$25*H13,NA())</f>
        <v>#N/A</v>
      </c>
      <c r="Y38" s="40" t="e">
        <f>IF((Tool!$W$24-Tool!$W$11)&gt;-Tool!$W$24/2,Tool!$W$27*COS(RADIANS(Tool!$W$26))+Tool!$W$25*H13,NA())</f>
        <v>#N/A</v>
      </c>
      <c r="Z38" s="40">
        <f>IF((Tool!$W$24-Tool!$W$11)&lt;=Tool!$W$24/2,Tool!$W$27*COS(RADIANS(Tool!$W$26))+Tool!$W$25*H13,NA())</f>
        <v>79.010630382931978</v>
      </c>
      <c r="AA38" s="40"/>
      <c r="AB38" s="32"/>
      <c r="AC38" s="32">
        <f>AC33-25/SIN(RADIANS(-Tool!G29))*SIN(RADIANS(-Tool!$G$22))</f>
        <v>447.69965708000552</v>
      </c>
      <c r="AD38" s="46">
        <f>AD33-25/SIN(RADIANS(-Tool!G29))*COS(RADIANS(Tool!$G$22))</f>
        <v>-2.7424927156734388E-14</v>
      </c>
      <c r="AE38" s="32"/>
    </row>
    <row r="39" spans="1:31" x14ac:dyDescent="0.25">
      <c r="A39" s="42">
        <f>IF(Tool!$G$2&lt;0.01,A38,B24*SIN(RADIANS($B$31))+A24*COS(RADIANS($B$31))-870)</f>
        <v>-882.72792206135784</v>
      </c>
      <c r="B39" s="42">
        <f>IF(Tool!$G$2&lt;0.01,B38,B24*COS(RADIANS($B$31))-A24*SIN(RADIANS($B$31))-125)</f>
        <v>-83.987806691180253</v>
      </c>
      <c r="C39" s="42">
        <f>IF(Tool!$G$6&lt;0.01,C38,D24*SIN(RADIANS($D$31))+C24*COS(RADIANS($D$31))-875)</f>
        <v>-907</v>
      </c>
      <c r="D39" s="42">
        <f>IF(Tool!$G$6&lt;0.01,D38,D24*COS(RADIANS($D$31))-C24*SIN(RADIANS($D$31))-375)</f>
        <v>-355</v>
      </c>
      <c r="E39" s="42">
        <f>IF(Tool!$G$10&lt;0.01,E38,F24*SIN(RADIANS($F$31))+E24*COS(RADIANS($F$31))-875)</f>
        <v>-895</v>
      </c>
      <c r="F39" s="42">
        <f>IF(Tool!$G$10&lt;0.01,F38,F24*COS(RADIANS($F$31))-E24*SIN(RADIANS($F$31))-625)</f>
        <v>-665</v>
      </c>
      <c r="G39" s="42">
        <f>IF(Tool!$G$12&lt;0.01,$G$33,H24*SIN(RADIANS($H$31))+G24*COS(RADIANS($H$31))-875)</f>
        <v>-864.58110933998421</v>
      </c>
      <c r="H39" s="42">
        <f>IF(Tool!$G$12&lt;0.01,$H$33,H24*COS(RADIANS($H$31))-G24*SIN(RADIANS($H$31))-875)</f>
        <v>-815.91153481926756</v>
      </c>
      <c r="I39" s="44">
        <f ca="1">L15*SIN(MZ!$V$38*PI()/180)+K15*COS(MZ!$V$38*PI()/180)+Tool!$G$25</f>
        <v>423.29507751494941</v>
      </c>
      <c r="J39" s="44">
        <f ca="1">L15*COS(MZ!$V$38*PI()/180)-K15*SIN(MZ!$V$38*PI()/180)+Tool!$G$24-Tool!$W$10</f>
        <v>-693.29545891729799</v>
      </c>
      <c r="K39" s="44"/>
      <c r="L39" s="44"/>
      <c r="M39" s="44"/>
      <c r="N39" s="44"/>
      <c r="O39" s="44">
        <f ca="1">J39*SIN(-Tool!$G$22*PI()/180)+I39*COS(-Tool!$G$22*PI()/180)</f>
        <v>693.29545891729799</v>
      </c>
      <c r="P39" s="44">
        <f ca="1">J39*COS(-Tool!$G$22*PI()/180)-I39*SIN(-Tool!$G$22*PI()/180)</f>
        <v>423.29507751494936</v>
      </c>
      <c r="Q39" s="6">
        <f ca="1">IF($R$8/$R$9&gt;$R$12,(-LN((R39-$R$11)/($R$9/$R$6)-SQRT(((R39-$R$11)/($R$9/$R$6))^2-1))-$R$10)/($R$6/$R$9),R39/$R$12)</f>
        <v>-199.27443864088443</v>
      </c>
      <c r="R39" s="6">
        <f ca="1">IF(IFERROR(U24,0)&lt;U38,U24,R40+Tool!W11/2)</f>
        <v>-17.551616169057979</v>
      </c>
      <c r="S39" s="6"/>
      <c r="T39" s="8">
        <f ca="1">IF(U39&lt;MIN(U14:U34),0,(-LN((U39-$U$11)/($U$9/$U$6)-SQRT(((U39-$U$11)/($U$9/$U$6))^2-1))-$U$10)/($U$6/$U$9))</f>
        <v>-299.31495459982989</v>
      </c>
      <c r="U39" s="5">
        <f ca="1">IF(IFERROR(U24,0)&lt;U38,U24,U40+Tool!W11/2)</f>
        <v>-17.551616169057979</v>
      </c>
      <c r="V39" s="5"/>
      <c r="W39" s="40">
        <f>-Tool!$W$27*SIN(RADIANS(Tool!$W$26))+Tool!$W$25*G14</f>
        <v>-187.93852415718166</v>
      </c>
      <c r="X39" s="40" t="e">
        <f>IF((Tool!$W$24-Tool!$W$11)&gt;-Tool!$W$8,Tool!$W$27*COS(RADIANS(Tool!$W$26))+Tool!$W$25*H14,NA())</f>
        <v>#N/A</v>
      </c>
      <c r="Y39" s="40" t="e">
        <f>IF((Tool!$W$24-Tool!$W$11)&gt;-Tool!$W$24/2,Tool!$W$27*COS(RADIANS(Tool!$W$26))+Tool!$W$25*H14,NA())</f>
        <v>#N/A</v>
      </c>
      <c r="Z39" s="40">
        <f>IF((Tool!$W$24-Tool!$W$11)&lt;=Tool!$W$24/2,Tool!$W$27*COS(RADIANS(Tool!$W$26))+Tool!$W$25*H14,NA())</f>
        <v>83.404028665133765</v>
      </c>
      <c r="AA39" s="40"/>
      <c r="AB39" s="32"/>
      <c r="AC39" s="32">
        <f>AC34-25/SIN(RADIANS(Tool!G28))*SIN(RADIANS(-Tool!$G$22))</f>
        <v>517.48737341529159</v>
      </c>
      <c r="AD39" s="46">
        <f>AD34-25/SIN(RADIANS(Tool!G28))*COS(RADIANS(Tool!$G$22))</f>
        <v>-3.1699942798723229E-14</v>
      </c>
      <c r="AE39" s="32"/>
    </row>
    <row r="40" spans="1:31" x14ac:dyDescent="0.25">
      <c r="A40" s="42">
        <f>IF(Tool!$G$2&lt;0.01,A39,B25*SIN(RADIANS($B$31))+A25*COS(RADIANS($B$31))-870)</f>
        <v>-895.45584412271569</v>
      </c>
      <c r="B40" s="42">
        <f>IF(Tool!$G$2&lt;0.01,B39,B25*COS(RADIANS($B$31))-A25*SIN(RADIANS($B$31))-125)</f>
        <v>-85.402020253553331</v>
      </c>
      <c r="C40" s="42">
        <f>IF(Tool!$G$6&lt;0.01,C39,D25*SIN(RADIANS($D$31))+C25*COS(RADIANS($D$31))-875)</f>
        <v>-919</v>
      </c>
      <c r="D40" s="42">
        <f>IF(Tool!$G$6&lt;0.01,D39,D25*COS(RADIANS($D$31))-C25*SIN(RADIANS($D$31))-375)</f>
        <v>-365</v>
      </c>
      <c r="E40" s="42">
        <f>IF(Tool!$G$10&lt;0.01,E39,F25*SIN(RADIANS($F$31))+E25*COS(RADIANS($F$31))-875)</f>
        <v>-875</v>
      </c>
      <c r="F40" s="42">
        <f>IF(Tool!$G$10&lt;0.01,F39,F25*COS(RADIANS($F$31))-E25*SIN(RADIANS($F$31))-625)</f>
        <v>-685</v>
      </c>
      <c r="G40" s="42">
        <f>IF(Tool!$G$12&lt;0.01,$G$33,H25*SIN(RADIANS($H$31))+G25*COS(RADIANS($H$31))-875)</f>
        <v>-881.94592710667723</v>
      </c>
      <c r="H40" s="42">
        <f>IF(Tool!$G$12&lt;0.01,$H$33,H25*COS(RADIANS($H$31))-G25*SIN(RADIANS($H$31))-875)</f>
        <v>-914.39231012048833</v>
      </c>
      <c r="I40" s="5"/>
      <c r="J40" s="5"/>
      <c r="K40" s="5"/>
      <c r="L40" s="5"/>
      <c r="M40" s="5"/>
      <c r="N40" s="5"/>
      <c r="O40" s="5"/>
      <c r="P40" s="5"/>
      <c r="Q40" s="6">
        <f>MAX((-LN((R40-$R$11)/($R$9/$R$6)-SQRT(ROUND((((R40-$R$11)/($R$9/$R$6))^2-1),15)))-$R$10)/($R$6/$R$9),R40/$R$12)</f>
        <v>-996.38095124304755</v>
      </c>
      <c r="R40" s="6">
        <f>-R5</f>
        <v>-85</v>
      </c>
      <c r="S40" s="6"/>
      <c r="T40" s="8">
        <f ca="1">IF(U40&lt;MIN(U14:U34),0,(LN((U40-$U$11)/($U$9/$U$6)-SQRT(((U40-$U$11)/($U$9/$U$6))^2-1))-$U$10)/($U$6/$U$9))</f>
        <v>0</v>
      </c>
      <c r="U40" s="5">
        <f>-Tool!W11</f>
        <v>-100</v>
      </c>
      <c r="V40" s="5"/>
      <c r="W40" s="40"/>
      <c r="X40" s="40"/>
      <c r="Y40" s="40"/>
      <c r="Z40" s="40"/>
      <c r="AA40" s="40"/>
      <c r="AB40" s="32"/>
      <c r="AC40" s="32">
        <f>AC35-25*SIN(RADIANS(Tool!$G$28-Tool!$G$22-90))</f>
        <v>11000.345404505853</v>
      </c>
      <c r="AD40" s="46">
        <f>AD35-25*COS(RADIANS(Tool!$G$28-Tool!$G$22-90))</f>
        <v>10482.858031090573</v>
      </c>
      <c r="AE40" s="32"/>
    </row>
    <row r="41" spans="1:31" x14ac:dyDescent="0.25">
      <c r="A41" s="42">
        <f>IF(Tool!$G$2&lt;0.01,A40,B26*SIN(RADIANS($B$31))+A26*COS(RADIANS($B$31))-870)</f>
        <v>-905.35533905932743</v>
      </c>
      <c r="B41" s="42">
        <f>IF(Tool!$G$2&lt;0.01,B40,B26*COS(RADIANS($B$31))-A26*SIN(RADIANS($B$31))-125)</f>
        <v>-89.644660940672622</v>
      </c>
      <c r="C41" s="42">
        <f>IF(Tool!$G$6&lt;0.01,C40,D26*SIN(RADIANS($D$31))+C26*COS(RADIANS($D$31))-875)</f>
        <v>-925</v>
      </c>
      <c r="D41" s="42">
        <f>IF(Tool!$G$6&lt;0.01,D40,D26*COS(RADIANS($D$31))-C26*SIN(RADIANS($D$31))-375)</f>
        <v>-375</v>
      </c>
      <c r="E41" s="42">
        <f>IF(Tool!$G$10&lt;0.01,E40,F26*SIN(RADIANS($F$31))+E26*COS(RADIANS($F$31))-875)</f>
        <v>-855</v>
      </c>
      <c r="F41" s="42">
        <f>IF(Tool!$G$10&lt;0.01,F40,F26*COS(RADIANS($F$31))-E26*SIN(RADIANS($F$31))-625)</f>
        <v>-665</v>
      </c>
      <c r="G41" s="42">
        <f>IF(Tool!$G$12&lt;0.01,$G$33,H26*SIN(RADIANS($H$31))+G26*COS(RADIANS($H$31))-875)</f>
        <v>-901.64208216692134</v>
      </c>
      <c r="H41" s="42">
        <f>IF(Tool!$G$12&lt;0.01,$H$33,H26*COS(RADIANS($H$31))-G26*SIN(RADIANS($H$31))-875)</f>
        <v>-910.91934656714966</v>
      </c>
      <c r="I41" s="5"/>
      <c r="J41" s="5"/>
      <c r="K41" s="5"/>
      <c r="L41" s="5"/>
      <c r="M41" s="5"/>
      <c r="N41" s="5"/>
      <c r="O41" s="5"/>
      <c r="P41" s="5"/>
      <c r="Q41" s="6"/>
      <c r="R41" s="6"/>
      <c r="S41" s="6"/>
      <c r="T41" s="8">
        <f ca="1">IF(U41&lt;MIN(U14:U34),0,(LN((U41-$U$11)/($U$9/$U$6)-SQRT(((U41-$U$11)/($U$9/$U$6))^2-1))-$U$10)/($U$6/$U$9))</f>
        <v>-299.31495459982989</v>
      </c>
      <c r="U41" s="5">
        <f ca="1">U39</f>
        <v>-17.551616169057979</v>
      </c>
      <c r="V41" s="5"/>
      <c r="W41" s="40">
        <f>-Tool!$W$31*SIN(RADIANS(Tool!$W$30))+Tool!$W$29*G6</f>
        <v>281.90778623577251</v>
      </c>
      <c r="X41" s="40" t="e">
        <f>IF((Tool!$W$28-Tool!$W$11)&gt;-Tool!$W$8,Tool!$W$31*COS(RADIANS(Tool!$W$30))+Tool!$W$29*H6,NA())</f>
        <v>#N/A</v>
      </c>
      <c r="Y41" s="40" t="e">
        <f>IF((Tool!$W$28-Tool!$W$11)&gt;-Tool!$W$28/2,Tool!$W$31*COS(RADIANS(Tool!$W$30))+Tool!$W$29*H6,NA())</f>
        <v>#N/A</v>
      </c>
      <c r="Z41" s="40">
        <f>IF((Tool!$W$28-Tool!$W$11)&lt;=Tool!$W$28/2,Tool!$W$31*COS(RADIANS(Tool!$W$30))+Tool!$W$29*H6,NA())</f>
        <v>-82.60604299770057</v>
      </c>
      <c r="AA41" s="40"/>
      <c r="AB41" s="32"/>
      <c r="AC41" s="32"/>
      <c r="AD41" s="46"/>
      <c r="AE41" s="32"/>
    </row>
    <row r="42" spans="1:31" x14ac:dyDescent="0.25">
      <c r="A42" s="42">
        <f>IF(Tool!$G$2&lt;0.01,A41,B27*SIN(RADIANS($B$31))+A27*COS(RADIANS($B$31))-870)</f>
        <v>-834.64466094067257</v>
      </c>
      <c r="B42" s="42">
        <f>IF(Tool!$G$2&lt;0.01,B41,B27*COS(RADIANS($B$31))-A27*SIN(RADIANS($B$31))-125)</f>
        <v>-160.35533905932738</v>
      </c>
      <c r="C42" s="42">
        <f>IF(Tool!$G$6&lt;0.01,C41,D27*SIN(RADIANS($D$31))+C27*COS(RADIANS($D$31))-875)</f>
        <v>-825</v>
      </c>
      <c r="D42" s="42">
        <f>IF(Tool!$G$6&lt;0.01,D41,D27*COS(RADIANS($D$31))-C27*SIN(RADIANS($D$31))-375)</f>
        <v>-375</v>
      </c>
      <c r="E42" s="42">
        <f>IF(Tool!$G$10&lt;0.01,E41,F27*SIN(RADIANS($F$31))+E27*COS(RADIANS($F$31))-875)</f>
        <v>-875</v>
      </c>
      <c r="F42" s="42">
        <f>IF(Tool!$G$10&lt;0.01,F41,F27*COS(RADIANS($F$31))-E27*SIN(RADIANS($F$31))-625)</f>
        <v>-665</v>
      </c>
      <c r="G42" s="42">
        <f>IF(Tool!$G$12&lt;0.01,$G$33,H27*SIN(RADIANS($H$31))+G27*COS(RADIANS($H$31))-875)</f>
        <v>-885.41889066001579</v>
      </c>
      <c r="H42" s="42">
        <f>IF(Tool!$G$12&lt;0.01,$H$33,H27*COS(RADIANS($H$31))-G27*SIN(RADIANS($H$31))-875)</f>
        <v>-934.08846518073244</v>
      </c>
      <c r="I42" s="5"/>
      <c r="J42" s="5"/>
      <c r="K42" s="5"/>
      <c r="L42" s="5"/>
      <c r="M42" s="5"/>
      <c r="N42" s="5"/>
      <c r="O42" s="5"/>
      <c r="P42" s="5"/>
      <c r="Q42" s="6"/>
      <c r="R42" s="6"/>
      <c r="S42" s="6"/>
      <c r="T42" s="5">
        <f ca="1">IF(U42&lt;MIN(U14:U34),0,(LN((U42-$U$11)/($U$9/$U$6)-SQRT(((U42-$U$11)/($U$9/$U$6))^2-1))-$U$10)/($U$6/$U$9))</f>
        <v>-413.49486337023239</v>
      </c>
      <c r="U42" s="5">
        <f>U38</f>
        <v>-15</v>
      </c>
      <c r="V42" s="5"/>
      <c r="W42" s="40">
        <f>-Tool!$W$31*SIN(RADIANS(Tool!$W$30))+Tool!$W$29*G7</f>
        <v>296.04992185950346</v>
      </c>
      <c r="X42" s="40" t="e">
        <f>IF((Tool!$W$28-Tool!$W$11)&gt;-Tool!$W$8,Tool!$W$31*COS(RADIANS(Tool!$W$30))+Tool!$W$29*H7,NA())</f>
        <v>#N/A</v>
      </c>
      <c r="Y42" s="40" t="e">
        <f>IF((Tool!$W$28-Tool!$W$11)&gt;-Tool!$W$28/2,Tool!$W$31*COS(RADIANS(Tool!$W$30))+Tool!$W$29*H7,NA())</f>
        <v>#N/A</v>
      </c>
      <c r="Z42" s="40">
        <f>IF((Tool!$W$28-Tool!$W$11)&lt;=Tool!$W$28/2,Tool!$W$31*COS(RADIANS(Tool!$W$30))+Tool!$W$29*H7,NA())</f>
        <v>-88.463907373969619</v>
      </c>
      <c r="AA42" s="40"/>
      <c r="AB42" s="32"/>
      <c r="AC42" s="32">
        <f>AC37-25*SIN(RADIANS(Tool!$G$29-Tool!$G$22+90))</f>
        <v>-2137.761114401515</v>
      </c>
      <c r="AD42" s="46">
        <f>AD37-25*COS(RADIANS(Tool!$G$29-Tool!$G$22+90))</f>
        <v>-14806.845930716503</v>
      </c>
      <c r="AE42" s="32"/>
    </row>
    <row r="43" spans="1:31" x14ac:dyDescent="0.25">
      <c r="A43" s="42">
        <f>IF(Tool!$G$2&lt;0.01,A42,B28*SIN(RADIANS($B$31))+A28*COS(RADIANS($B$31))-870)</f>
        <v>-862.92893218813447</v>
      </c>
      <c r="B43" s="42">
        <f>IF(Tool!$G$2&lt;0.01,B42,B28*COS(RADIANS($B$31))-A28*SIN(RADIANS($B$31))-125)</f>
        <v>-160.35533905932738</v>
      </c>
      <c r="C43" s="42">
        <f>IF(Tool!$G$6&lt;0.01,C42,D28*SIN(RADIANS($D$31))+C28*COS(RADIANS($D$31))-875)</f>
        <v>-845</v>
      </c>
      <c r="D43" s="42">
        <f>IF(Tool!$G$6&lt;0.01,D42,D28*COS(RADIANS($D$31))-C28*SIN(RADIANS($D$31))-375)</f>
        <v>-395</v>
      </c>
      <c r="E43" s="42"/>
      <c r="F43" s="42"/>
      <c r="G43" s="42">
        <f>IF(Tool!$G$12&lt;0.01,$G$33,H28*SIN(RADIANS($H$31))+G28*COS(RADIANS($H$31))-875)</f>
        <v>-862.24977204643301</v>
      </c>
      <c r="H43" s="42">
        <f>IF(Tool!$G$12&lt;0.01,$H$33,H28*COS(RADIANS($H$31))-G28*SIN(RADIANS($H$31))-875)</f>
        <v>-917.86527367382689</v>
      </c>
      <c r="I43" s="5"/>
      <c r="J43" s="5"/>
      <c r="K43" s="5"/>
      <c r="L43" s="5"/>
      <c r="M43" s="5"/>
      <c r="N43" s="5"/>
      <c r="O43" s="5"/>
      <c r="P43" s="5"/>
      <c r="Q43" s="6"/>
      <c r="R43" s="6"/>
      <c r="S43" s="6"/>
      <c r="T43" s="5">
        <f ca="1">(LN((U43-$U$11)/($U$9/$U$6)-SQRT(((U43-$U$11)/($U$9/$U$6))^2-1))-$U$10)/($U$6/$U$9)</f>
        <v>-598.62990919966023</v>
      </c>
      <c r="U43" s="5">
        <f>U37</f>
        <v>0</v>
      </c>
      <c r="V43" s="5"/>
      <c r="W43" s="40">
        <f>-Tool!$W$31*SIN(RADIANS(Tool!$W$30))+Tool!$W$29*G8</f>
        <v>301.90778623577251</v>
      </c>
      <c r="X43" s="40" t="e">
        <f>IF((Tool!$W$28-Tool!$W$11)&gt;-Tool!$W$8,Tool!$W$31*COS(RADIANS(Tool!$W$30))+Tool!$W$29*H8,NA())</f>
        <v>#N/A</v>
      </c>
      <c r="Y43" s="40" t="e">
        <f>IF((Tool!$W$28-Tool!$W$11)&gt;-Tool!$W$28/2,Tool!$W$31*COS(RADIANS(Tool!$W$30))+Tool!$W$29*H8,NA())</f>
        <v>#N/A</v>
      </c>
      <c r="Z43" s="40">
        <f>IF((Tool!$W$28-Tool!$W$11)&lt;=Tool!$W$28/2,Tool!$W$31*COS(RADIANS(Tool!$W$30))+Tool!$W$29*H8,NA())</f>
        <v>-102.60604299770057</v>
      </c>
      <c r="AA43" s="40"/>
      <c r="AB43" s="32"/>
      <c r="AC43" s="32">
        <f>AC38-25/SIN(RADIANS(-Tool!G29))*SIN(RADIANS(-Tool!$G$22))</f>
        <v>473.08532237714917</v>
      </c>
      <c r="AD43" s="46">
        <f>AD38-25/SIN(RADIANS(-Tool!G29))*COS(RADIANS(Tool!$G$22))</f>
        <v>-2.8979987587515534E-14</v>
      </c>
      <c r="AE43" s="32"/>
    </row>
    <row r="44" spans="1:31" x14ac:dyDescent="0.25">
      <c r="A44" s="42">
        <f>IF(Tool!$G$2&lt;0.01,A43,B29*SIN(RADIANS($B$31))+A29*COS(RADIANS($B$31))-870)</f>
        <v>-834.64466094067257</v>
      </c>
      <c r="B44" s="42">
        <f>IF(Tool!$G$2&lt;0.01,B43,B29*COS(RADIANS($B$31))-A29*SIN(RADIANS($B$31))-125)</f>
        <v>-132.07106781186548</v>
      </c>
      <c r="C44" s="42">
        <f>IF(Tool!$G$6&lt;0.01,C43,D29*SIN(RADIANS($D$31))+C29*COS(RADIANS($D$31))-875)</f>
        <v>-845</v>
      </c>
      <c r="D44" s="42">
        <f>IF(Tool!$G$6&lt;0.01,D43,D29*COS(RADIANS($D$31))-C29*SIN(RADIANS($D$31))-375)</f>
        <v>-355</v>
      </c>
      <c r="E44" s="42"/>
      <c r="F44" s="42"/>
      <c r="G44" s="42">
        <f>IF(Tool!$G$12&lt;0.01,$G$33,H29*SIN(RADIANS($H$31))+G29*COS(RADIANS($H$31))-875)</f>
        <v>-881.94592710667723</v>
      </c>
      <c r="H44" s="42">
        <f>IF(Tool!$G$12&lt;0.01,$H$33,H29*COS(RADIANS($H$31))-G29*SIN(RADIANS($H$31))-875)</f>
        <v>-914.39231012048833</v>
      </c>
      <c r="I44" s="5"/>
      <c r="J44" s="5"/>
      <c r="K44" s="5"/>
      <c r="L44" s="5"/>
      <c r="M44" s="5"/>
      <c r="N44" s="5"/>
      <c r="O44" s="5"/>
      <c r="P44" s="5"/>
      <c r="Q44" s="6"/>
      <c r="R44" s="6"/>
      <c r="S44" s="6"/>
      <c r="T44" s="6"/>
      <c r="U44" s="6"/>
      <c r="V44" s="6"/>
      <c r="W44" s="40">
        <f>-Tool!$W$31*SIN(RADIANS(Tool!$W$30))+Tool!$W$29*G9</f>
        <v>296.04992185950346</v>
      </c>
      <c r="X44" s="40" t="e">
        <f>IF((Tool!$W$28-Tool!$W$11)&gt;-Tool!$W$8,Tool!$W$31*COS(RADIANS(Tool!$W$30))+Tool!$W$29*H9,NA())</f>
        <v>#N/A</v>
      </c>
      <c r="Y44" s="40" t="e">
        <f>IF((Tool!$W$28-Tool!$W$11)&gt;-Tool!$W$28/2,Tool!$W$31*COS(RADIANS(Tool!$W$30))+Tool!$W$29*H9,NA())</f>
        <v>#N/A</v>
      </c>
      <c r="Z44" s="40">
        <f>IF((Tool!$W$28-Tool!$W$11)&lt;=Tool!$W$28/2,Tool!$W$31*COS(RADIANS(Tool!$W$30))+Tool!$W$29*H9,NA())</f>
        <v>-116.74817862143152</v>
      </c>
      <c r="AA44" s="40"/>
      <c r="AB44" s="32"/>
      <c r="AC44" s="32">
        <f>AC39-25/SIN(RADIANS(Tool!G28))*SIN(RADIANS(-Tool!$G$22))</f>
        <v>552.84271247461891</v>
      </c>
      <c r="AD44" s="46">
        <f>AD39-25/SIN(RADIANS(Tool!G28))*COS(RADIANS(Tool!$G$22))</f>
        <v>-3.3865719749788498E-14</v>
      </c>
      <c r="AE44" s="32"/>
    </row>
    <row r="45" spans="1:31" x14ac:dyDescent="0.25">
      <c r="A45" s="42">
        <f>IF(Tool!$G$2&lt;0.01,A44,B30*SIN(RADIANS($B$31))+A30*COS(RADIANS($B$31))-870)</f>
        <v>-834.64466094067257</v>
      </c>
      <c r="B45" s="42">
        <f>IF(Tool!$G$2&lt;0.01,B44,B30*COS(RADIANS($B$31))-A30*SIN(RADIANS($B$31))-125)</f>
        <v>-160.35533905932738</v>
      </c>
      <c r="C45" s="42">
        <f>IF(Tool!$G$6&lt;0.01,C44,D30*SIN(RADIANS($D$31))+C30*COS(RADIANS($D$31))-875)</f>
        <v>-825</v>
      </c>
      <c r="D45" s="42">
        <f>IF(Tool!$G$6&lt;0.01,D44,D30*COS(RADIANS($D$31))-C30*SIN(RADIANS($D$31))-375)</f>
        <v>-375</v>
      </c>
      <c r="E45" s="42"/>
      <c r="F45" s="42"/>
      <c r="G45" s="42"/>
      <c r="H45" s="42"/>
      <c r="I45" s="5"/>
      <c r="J45" s="5"/>
      <c r="K45" s="5"/>
      <c r="L45" s="5"/>
      <c r="M45" s="5"/>
      <c r="N45" s="5"/>
      <c r="O45" s="5"/>
      <c r="P45" s="5"/>
      <c r="Q45" s="6"/>
      <c r="R45" s="6"/>
      <c r="S45" s="6"/>
      <c r="T45" s="6"/>
      <c r="U45" s="6"/>
      <c r="V45" s="6"/>
      <c r="W45" s="40">
        <f>-Tool!$W$31*SIN(RADIANS(Tool!$W$30))+Tool!$W$29*G10</f>
        <v>281.90778623577251</v>
      </c>
      <c r="X45" s="40" t="e">
        <f>IF((Tool!$W$28-Tool!$W$11)&gt;-Tool!$W$8,Tool!$W$31*COS(RADIANS(Tool!$W$30))+Tool!$W$29*H10,NA())</f>
        <v>#N/A</v>
      </c>
      <c r="Y45" s="40" t="e">
        <f>IF((Tool!$W$28-Tool!$W$11)&gt;-Tool!$W$28/2,Tool!$W$31*COS(RADIANS(Tool!$W$30))+Tool!$W$29*H10,NA())</f>
        <v>#N/A</v>
      </c>
      <c r="Z45" s="40">
        <f>IF((Tool!$W$28-Tool!$W$11)&lt;=Tool!$W$28/2,Tool!$W$31*COS(RADIANS(Tool!$W$30))+Tool!$W$29*H10,NA())</f>
        <v>-122.60604299770057</v>
      </c>
      <c r="AA45" s="40"/>
      <c r="AB45" s="32"/>
      <c r="AC45" s="32">
        <f>AC40-25*SIN(RADIANS(Tool!$G$28-Tool!$G$22-90))</f>
        <v>11018.023074035516</v>
      </c>
      <c r="AD45" s="46">
        <f>AD40-25*COS(RADIANS(Tool!$G$28-Tool!$G$22-90))</f>
        <v>10465.18036156091</v>
      </c>
      <c r="AE45" s="32"/>
    </row>
    <row r="46" spans="1:31" x14ac:dyDescent="0.25">
      <c r="V46" s="6"/>
      <c r="W46" s="40">
        <f>-Tool!$W$31*SIN(RADIANS(Tool!$W$30))+Tool!$W$29*G11</f>
        <v>267.76565061204155</v>
      </c>
      <c r="X46" s="40" t="e">
        <f>IF((Tool!$W$28-Tool!$W$11)&gt;-Tool!$W$8,Tool!$W$31*COS(RADIANS(Tool!$W$30))+Tool!$W$29*H11,NA())</f>
        <v>#N/A</v>
      </c>
      <c r="Y46" s="40" t="e">
        <f>IF((Tool!$W$28-Tool!$W$11)&gt;-Tool!$W$28/2,Tool!$W$31*COS(RADIANS(Tool!$W$30))+Tool!$W$29*H11,NA())</f>
        <v>#N/A</v>
      </c>
      <c r="Z46" s="40">
        <f>IF((Tool!$W$28-Tool!$W$11)&lt;=Tool!$W$28/2,Tool!$W$31*COS(RADIANS(Tool!$W$30))+Tool!$W$29*H11,NA())</f>
        <v>-116.74817862143152</v>
      </c>
      <c r="AA46" s="40"/>
      <c r="AB46" s="32"/>
      <c r="AC46" s="32"/>
      <c r="AD46" s="46"/>
      <c r="AE46" s="32"/>
    </row>
    <row r="47" spans="1:31" x14ac:dyDescent="0.25">
      <c r="V47" s="6"/>
      <c r="W47" s="40">
        <f>-Tool!$W$31*SIN(RADIANS(Tool!$W$30))+Tool!$W$29*G12</f>
        <v>261.90778623577251</v>
      </c>
      <c r="X47" s="40" t="e">
        <f>IF((Tool!$W$28-Tool!$W$11)&gt;-Tool!$W$8,Tool!$W$31*COS(RADIANS(Tool!$W$30))+Tool!$W$29*H12,NA())</f>
        <v>#N/A</v>
      </c>
      <c r="Y47" s="40" t="e">
        <f>IF((Tool!$W$28-Tool!$W$11)&gt;-Tool!$W$28/2,Tool!$W$31*COS(RADIANS(Tool!$W$30))+Tool!$W$29*H12,NA())</f>
        <v>#N/A</v>
      </c>
      <c r="Z47" s="40">
        <f>IF((Tool!$W$28-Tool!$W$11)&lt;=Tool!$W$28/2,Tool!$W$31*COS(RADIANS(Tool!$W$30))+Tool!$W$29*H12,NA())</f>
        <v>-102.60604299770057</v>
      </c>
      <c r="AA47" s="40"/>
      <c r="AB47" s="32"/>
      <c r="AC47" s="32">
        <f>AC42-25*SIN(RADIANS(Tool!$G$29-Tool!$G$22+90))</f>
        <v>-2113.1409205762097</v>
      </c>
      <c r="AD47" s="46">
        <f>AD42-25*COS(RADIANS(Tool!$G$29-Tool!$G$22+90))</f>
        <v>-14811.187135158176</v>
      </c>
      <c r="AE47" s="32"/>
    </row>
    <row r="48" spans="1:31" x14ac:dyDescent="0.25">
      <c r="L48" s="74" t="str">
        <f ca="1">CONCATENATE("At required BP, Tow line catenary depth is ",CEILING(-Vis!U25,1)," m")</f>
        <v>At required BP, Tow line catenary depth is 18 m</v>
      </c>
      <c r="M48" s="75"/>
      <c r="N48" s="75"/>
      <c r="O48" s="36"/>
      <c r="P48" s="36"/>
      <c r="Q48" s="36"/>
      <c r="R48" s="36"/>
      <c r="S48" s="36"/>
      <c r="V48" s="6">
        <v>0</v>
      </c>
      <c r="W48" s="40">
        <f>-Tool!$W$31*SIN(RADIANS(Tool!$W$30))+Tool!$W$29*G13</f>
        <v>267.76565061204155</v>
      </c>
      <c r="X48" s="40" t="e">
        <f>IF((Tool!$W$28-Tool!$W$11)&gt;-Tool!$W$8,Tool!$W$31*COS(RADIANS(Tool!$W$30))+Tool!$W$29*H13,NA())</f>
        <v>#N/A</v>
      </c>
      <c r="Y48" s="40" t="e">
        <f>IF((Tool!$W$28-Tool!$W$11)&gt;-Tool!$W$28/2,Tool!$W$31*COS(RADIANS(Tool!$W$30))+Tool!$W$29*H13,NA())</f>
        <v>#N/A</v>
      </c>
      <c r="Z48" s="40">
        <f>IF((Tool!$W$28-Tool!$W$11)&lt;=Tool!$W$28/2,Tool!$W$31*COS(RADIANS(Tool!$W$30))+Tool!$W$29*H13,NA())</f>
        <v>-88.463907373969619</v>
      </c>
      <c r="AA48" s="40"/>
      <c r="AB48" s="32"/>
      <c r="AC48" s="32">
        <f>AC43-25/SIN(RADIANS(-Tool!G29))*SIN(RADIANS(-Tool!$G$22))</f>
        <v>498.47098767429281</v>
      </c>
      <c r="AD48" s="46">
        <f>AD43-25/SIN(RADIANS(-Tool!G29))*COS(RADIANS(Tool!$G$22))</f>
        <v>-3.0535048018296679E-14</v>
      </c>
      <c r="AE48" s="32"/>
    </row>
    <row r="49" spans="5:31" x14ac:dyDescent="0.25">
      <c r="L49" s="77" t="str">
        <f ca="1">IF(IFERROR(MZ!V29,Tool!D30)&lt;Tool!D30,CONCATENATE("Reduce tow line length to ",FLOOR(MZ!V29,1)," to keep line off ground at lower BP"),IF(Tool!W32&lt;Tool!W11,CONCATENATE("Maintain at least ",CEILING(MZ!U7,1)," tonne BP to limit catenary depth to ",Tool!W32," m"),""))</f>
        <v>Maintain at least 102 tonne BP to limit catenary depth to 9 m</v>
      </c>
      <c r="M49" s="75"/>
      <c r="N49" s="75"/>
      <c r="O49" s="37"/>
      <c r="P49" s="35"/>
      <c r="Q49" s="36"/>
      <c r="R49" s="36"/>
      <c r="S49" s="36"/>
      <c r="V49" s="6">
        <f>MOD(V48,Tool!$W$13)</f>
        <v>0</v>
      </c>
      <c r="W49" s="40">
        <f>-Tool!$W$31*SIN(RADIANS(Tool!$W$30))+Tool!$W$29*G14</f>
        <v>281.90778623577251</v>
      </c>
      <c r="X49" s="40" t="e">
        <f>IF((Tool!$W$28-Tool!$W$11)&gt;-Tool!$W$8,Tool!$W$31*COS(RADIANS(Tool!$W$30))+Tool!$W$29*H14,NA())</f>
        <v>#N/A</v>
      </c>
      <c r="Y49" s="40" t="e">
        <f>IF((Tool!$W$28-Tool!$W$11)&gt;-Tool!$W$28/2,Tool!$W$31*COS(RADIANS(Tool!$W$30))+Tool!$W$29*H14,NA())</f>
        <v>#N/A</v>
      </c>
      <c r="Z49" s="40">
        <f>IF((Tool!$W$28-Tool!$W$11)&lt;=Tool!$W$28/2,Tool!$W$31*COS(RADIANS(Tool!$W$30))+Tool!$W$29*H14,NA())</f>
        <v>-82.60604299770057</v>
      </c>
      <c r="AA49" s="40"/>
      <c r="AB49" s="32"/>
      <c r="AC49" s="32">
        <f>AC44-25/SIN(RADIANS(Tool!G28))*SIN(RADIANS(-Tool!$G$22))</f>
        <v>588.19805153394623</v>
      </c>
      <c r="AD49" s="46">
        <f>AD44-25/SIN(RADIANS(Tool!G28))*COS(RADIANS(Tool!$G$22))</f>
        <v>-3.6031496700853766E-14</v>
      </c>
      <c r="AE49" s="32"/>
    </row>
    <row r="50" spans="5:31" x14ac:dyDescent="0.25">
      <c r="L50" s="77" t="str">
        <f ca="1">CONCATENATE("Tug 1  BP     ",CEILING(IFERROR(MZ!V35,0)/9.81,1),"   tonnes towards     ",IFERROR(ROUND(MOD(Tool!G22-MZ!V36,360),1),"")," deg")</f>
        <v>Tug 1  BP     53   tonnes towards     315 deg</v>
      </c>
      <c r="N50" s="77"/>
      <c r="O50" s="36"/>
      <c r="P50" s="37"/>
      <c r="Q50" s="35"/>
      <c r="R50" s="36"/>
      <c r="S50" s="36"/>
      <c r="V50" s="6">
        <f>(V48-V49)*360/Tool!$W$12/Tool!$W$13</f>
        <v>0</v>
      </c>
      <c r="W50" s="40"/>
      <c r="X50" s="40"/>
      <c r="Y50" s="40"/>
      <c r="Z50" s="40"/>
      <c r="AA50" s="40"/>
      <c r="AB50" s="32"/>
      <c r="AC50" s="32">
        <f>AC45-25*SIN(RADIANS(Tool!$G$28-Tool!$G$22-90))</f>
        <v>11035.700743565179</v>
      </c>
      <c r="AD50" s="46">
        <f>AD45-25*COS(RADIANS(Tool!$G$28-Tool!$G$22-90))</f>
        <v>10447.502692031247</v>
      </c>
      <c r="AE50" s="32"/>
    </row>
    <row r="51" spans="5:31" x14ac:dyDescent="0.25">
      <c r="L51" s="77" t="str">
        <f>IF(Tool!G26=2,CONCATENATE("Tug 2 BP     ",CEILING(IFERROR(MZ!V37,0)/9.81,1),"   tonnes towards     ",IFERROR(ROUND(MOD(Tool!G22-MZ!V38,360),1),"")," deg"),"")</f>
        <v/>
      </c>
      <c r="M51" s="78"/>
      <c r="N51" s="77"/>
      <c r="O51" s="36"/>
      <c r="P51" s="38"/>
      <c r="Q51" s="35"/>
      <c r="R51" s="36"/>
      <c r="S51" s="36"/>
      <c r="V51" s="6">
        <f>90-(V49*Tool!$W$14+V50+Tool!$W$15)</f>
        <v>70</v>
      </c>
      <c r="W51" s="18">
        <f>$Q$37*COS(RADIANS(-$V51))</f>
        <v>5.122957922980877E-12</v>
      </c>
      <c r="X51" s="18">
        <f>$Q$37*SIN(RADIANS(-$V51))</f>
        <v>-1.4075211214206106E-11</v>
      </c>
      <c r="Y51" s="6"/>
      <c r="Z51" s="6"/>
      <c r="AA51" s="40"/>
      <c r="AB51" s="32"/>
      <c r="AC51" s="32"/>
      <c r="AD51" s="46"/>
      <c r="AE51" s="32"/>
    </row>
    <row r="52" spans="5:31" x14ac:dyDescent="0.25">
      <c r="L52" s="79" t="str">
        <f ca="1">IF(Vis!L54&gt;(Tool!T4*(Tool!T5/100)),CONCATENATE("NOTE: Required bollard pull, exceeds effective available bollard pull of ",FLOOR(Tool!T4*(Tool!T5/100),1)," tonne"),"")</f>
        <v/>
      </c>
      <c r="M52" s="75"/>
      <c r="N52" s="75"/>
      <c r="O52" s="36"/>
      <c r="P52" s="36"/>
      <c r="Q52" s="36"/>
      <c r="R52" s="36"/>
      <c r="S52" s="36"/>
      <c r="V52" s="6">
        <f>V48+1</f>
        <v>1</v>
      </c>
      <c r="W52" s="18">
        <f>$Q$38*COS(RADIANS(-$V51))</f>
        <v>5.122957922980877E-12</v>
      </c>
      <c r="X52" s="18">
        <f>$Q$38*SIN(RADIANS(-$V51))</f>
        <v>-1.4075211214206106E-11</v>
      </c>
      <c r="Y52" s="18">
        <f>$Q$38*SIN(RADIANS(-$V51))</f>
        <v>-1.4075211214206106E-11</v>
      </c>
      <c r="Z52" s="6"/>
      <c r="AA52" s="40"/>
      <c r="AB52" s="32"/>
      <c r="AC52" s="32">
        <f>AC47-25*SIN(RADIANS(Tool!$G$29-Tool!$G$22+90))</f>
        <v>-2088.5207267509045</v>
      </c>
      <c r="AD52" s="46">
        <f>AD47-25*COS(RADIANS(Tool!$G$29-Tool!$G$22+90))</f>
        <v>-14815.528339599849</v>
      </c>
      <c r="AE52" s="32"/>
    </row>
    <row r="53" spans="5:31" x14ac:dyDescent="0.25">
      <c r="L53" s="79" t="str">
        <f ca="1">IF(Vis!L54&gt;(Tool!T4*(Tool!T5/100)),"           Try increasing allowable tow angles or number of tugs or reduce environment","")</f>
        <v/>
      </c>
      <c r="M53" s="75"/>
      <c r="N53" s="75"/>
      <c r="O53" s="36"/>
      <c r="P53" s="36"/>
      <c r="Q53" s="36"/>
      <c r="R53" s="36"/>
      <c r="S53" s="36"/>
      <c r="V53" s="6">
        <f>MOD(V52,Tool!$W$13)</f>
        <v>1</v>
      </c>
      <c r="W53" s="18">
        <f ca="1">$Q$39*COS(RADIANS(-$V51))</f>
        <v>-68.155872065097483</v>
      </c>
      <c r="X53" s="18"/>
      <c r="Y53" s="18">
        <f ca="1">$Q$39*SIN(RADIANS(-$V51))</f>
        <v>187.25671950209338</v>
      </c>
      <c r="Z53" s="18">
        <f ca="1">$Q$39*SIN(RADIANS(-$V51))</f>
        <v>187.25671950209338</v>
      </c>
      <c r="AA53" s="40"/>
      <c r="AB53" s="32"/>
      <c r="AC53" s="32">
        <f>AC48-25/SIN(RADIANS(-Tool!G29))*SIN(RADIANS(-Tool!$G$22))</f>
        <v>523.85665297143646</v>
      </c>
      <c r="AD53" s="46">
        <f>AD48-25/SIN(RADIANS(-Tool!G29))*COS(RADIANS(Tool!$G$22))</f>
        <v>-3.2090108449077825E-14</v>
      </c>
      <c r="AE53" s="32"/>
    </row>
    <row r="54" spans="5:31" x14ac:dyDescent="0.25">
      <c r="F54" s="86" t="s">
        <v>270</v>
      </c>
      <c r="G54" t="s">
        <v>272</v>
      </c>
      <c r="L54" s="78">
        <f ca="1">CEILING(IFERROR(MZ!V35,0)/9.81,1)</f>
        <v>53</v>
      </c>
      <c r="V54" s="6">
        <f>(V52-V53)*360/Tool!$W$12/Tool!$W$13</f>
        <v>0</v>
      </c>
      <c r="W54" s="18">
        <f>$Q$40*COS(RADIANS(-$V51))</f>
        <v>-340.78235575111336</v>
      </c>
      <c r="X54" s="18"/>
      <c r="Y54" s="6"/>
      <c r="Z54" s="18">
        <f>$Q$40*SIN(RADIANS(-$V51))</f>
        <v>936.2918273747357</v>
      </c>
      <c r="AA54" s="40"/>
      <c r="AB54" s="32"/>
      <c r="AC54" s="32">
        <f>AC49-25/SIN(RADIANS(Tool!G28))*SIN(RADIANS(-Tool!$G$22))</f>
        <v>623.55339059327355</v>
      </c>
      <c r="AD54" s="46">
        <f>AD49-25/SIN(RADIANS(Tool!G28))*COS(RADIANS(Tool!$G$22))</f>
        <v>-3.8197273651919034E-14</v>
      </c>
      <c r="AE54" s="32"/>
    </row>
    <row r="55" spans="5:31" x14ac:dyDescent="0.25">
      <c r="F55" s="86" t="s">
        <v>271</v>
      </c>
      <c r="G55" s="86" t="s">
        <v>273</v>
      </c>
      <c r="V55" s="6">
        <f>90-(V53*Tool!$W$14+V54+Tool!$W$15)</f>
        <v>65</v>
      </c>
      <c r="W55" s="18">
        <f>$Q$37*COS(RADIANS(-$V55))</f>
        <v>6.3301990091249501E-12</v>
      </c>
      <c r="X55" s="18">
        <f>$Q$37*SIN(RADIANS(-$V55))</f>
        <v>-1.3575155583271204E-11</v>
      </c>
      <c r="Y55" s="6"/>
      <c r="Z55" s="6"/>
      <c r="AA55" s="40"/>
      <c r="AB55" s="32"/>
      <c r="AC55" s="32">
        <f>AC50-25*SIN(RADIANS(Tool!$G$28-Tool!$G$22-90))</f>
        <v>11053.378413094842</v>
      </c>
      <c r="AD55" s="46">
        <f>AD50-25*COS(RADIANS(Tool!$G$28-Tool!$G$22-90))</f>
        <v>10429.825022501584</v>
      </c>
      <c r="AE55" s="32"/>
    </row>
    <row r="56" spans="5:31" x14ac:dyDescent="0.25">
      <c r="E56" s="86" t="s">
        <v>262</v>
      </c>
      <c r="F56">
        <f>1/Tool!G32</f>
        <v>5.0000000000000001E-3</v>
      </c>
      <c r="G56">
        <v>500</v>
      </c>
      <c r="V56" s="6">
        <f>V52+1</f>
        <v>2</v>
      </c>
      <c r="W56" s="18">
        <f>$Q$38*COS(RADIANS(-$V55))</f>
        <v>6.3301990091249501E-12</v>
      </c>
      <c r="X56" s="18">
        <f>$Q$38*SIN(RADIANS(-$V55))</f>
        <v>-1.3575155583271204E-11</v>
      </c>
      <c r="Y56" s="18">
        <f>$Q$38*SIN(RADIANS(-$V55))</f>
        <v>-1.3575155583271204E-11</v>
      </c>
      <c r="Z56" s="6"/>
      <c r="AA56" s="40"/>
      <c r="AB56" s="32"/>
      <c r="AC56" s="32"/>
      <c r="AD56" s="46"/>
      <c r="AE56" s="32"/>
    </row>
    <row r="57" spans="5:31" x14ac:dyDescent="0.25">
      <c r="E57" s="86" t="s">
        <v>266</v>
      </c>
      <c r="F57">
        <f>0.004*0.87*9.81</f>
        <v>3.4138800000000004E-2</v>
      </c>
      <c r="G57">
        <v>200</v>
      </c>
      <c r="V57" s="6">
        <f>MOD(V56,Tool!$W$13)</f>
        <v>2</v>
      </c>
      <c r="W57" s="18">
        <f ca="1">$Q$39*COS(RADIANS(-$V55))</f>
        <v>-84.217016867764244</v>
      </c>
      <c r="X57" s="18"/>
      <c r="Y57" s="18">
        <f ca="1">$Q$39*SIN(RADIANS(-$V55))</f>
        <v>180.60397549759065</v>
      </c>
      <c r="Z57" s="18">
        <f ca="1">$Q$39*SIN(RADIANS(-$V55))</f>
        <v>180.60397549759065</v>
      </c>
      <c r="AA57" s="40"/>
      <c r="AB57" s="32"/>
      <c r="AC57" s="32">
        <f>AC52-25*SIN(RADIANS(Tool!$G$29-Tool!$G$22+90))</f>
        <v>-2063.9005329255992</v>
      </c>
      <c r="AD57" s="46">
        <f>AD52-25*COS(RADIANS(Tool!$G$29-Tool!$G$22+90))</f>
        <v>-14819.869544041521</v>
      </c>
      <c r="AE57" s="32"/>
    </row>
    <row r="58" spans="5:31" x14ac:dyDescent="0.25">
      <c r="E58" s="86" t="s">
        <v>261</v>
      </c>
      <c r="F58">
        <f>0.0005177*9.81*0.05</f>
        <v>2.5393185000000001E-4</v>
      </c>
      <c r="G58">
        <v>300</v>
      </c>
      <c r="V58" s="6">
        <f>(V56-V57)*360/Tool!$W$12/Tool!$W$13</f>
        <v>0</v>
      </c>
      <c r="W58" s="18">
        <f>$Q$40*COS(RADIANS(-$V55))</f>
        <v>-421.08878564588133</v>
      </c>
      <c r="X58" s="18"/>
      <c r="Y58" s="6"/>
      <c r="Z58" s="18">
        <f>$Q$40*SIN(RADIANS(-$V55))</f>
        <v>903.02781496655859</v>
      </c>
      <c r="AA58" s="40"/>
      <c r="AB58" s="32"/>
      <c r="AC58" s="32">
        <f>AC53-25/SIN(RADIANS(-Tool!G29))*SIN(RADIANS(-Tool!$G$22))</f>
        <v>549.24231826858011</v>
      </c>
      <c r="AD58" s="46">
        <f>AD53-25/SIN(RADIANS(-Tool!G29))*COS(RADIANS(Tool!$G$22))</f>
        <v>-3.364516887985897E-14</v>
      </c>
      <c r="AE58" s="32"/>
    </row>
    <row r="59" spans="5:31" x14ac:dyDescent="0.25">
      <c r="E59" s="86" t="s">
        <v>263</v>
      </c>
      <c r="F59">
        <f>0.0219*0.87*9.81</f>
        <v>0.18690993</v>
      </c>
      <c r="G59">
        <v>100</v>
      </c>
      <c r="V59" s="6">
        <f>90-(V57*Tool!$W$14+V58+Tool!$W$15)</f>
        <v>60</v>
      </c>
      <c r="W59" s="18">
        <f>$Q$37*COS(RADIANS(-$V59))</f>
        <v>7.4892634585309183E-12</v>
      </c>
      <c r="X59" s="18">
        <f>$Q$37*SIN(RADIANS(-$V59))</f>
        <v>-1.2971784821444557E-11</v>
      </c>
      <c r="Y59" s="6"/>
      <c r="Z59" s="6"/>
      <c r="AA59" s="40"/>
      <c r="AB59" s="32"/>
      <c r="AC59" s="32">
        <f>AC54-25/SIN(RADIANS(Tool!G28))*SIN(RADIANS(-Tool!$G$22))</f>
        <v>658.90872965260087</v>
      </c>
      <c r="AD59" s="46">
        <f>AD54-25/SIN(RADIANS(Tool!G28))*COS(RADIANS(Tool!$G$22))</f>
        <v>-4.0363050602984303E-14</v>
      </c>
      <c r="AE59" s="32"/>
    </row>
    <row r="60" spans="5:31" x14ac:dyDescent="0.25">
      <c r="E60" s="86" t="s">
        <v>262</v>
      </c>
      <c r="F60">
        <f>1/Tool!W19</f>
        <v>1.8518518518518517E-2</v>
      </c>
      <c r="G60">
        <v>500</v>
      </c>
      <c r="V60" s="6">
        <f>V56+1</f>
        <v>3</v>
      </c>
      <c r="W60" s="18">
        <f>$Q$38*COS(RADIANS(-$V59))</f>
        <v>7.4892634585309183E-12</v>
      </c>
      <c r="X60" s="18">
        <f>$Q$38*SIN(RADIANS(-$V59))</f>
        <v>-1.2971784821444557E-11</v>
      </c>
      <c r="Y60" s="18">
        <f>$Q$38*SIN(RADIANS(-$V59))</f>
        <v>-1.2971784821444557E-11</v>
      </c>
      <c r="Z60" s="6"/>
      <c r="AA60" s="40"/>
      <c r="AB60" s="32"/>
      <c r="AC60" s="32">
        <f>AC55-25*SIN(RADIANS(Tool!$G$28-Tool!$G$22-90))</f>
        <v>11071.056082624506</v>
      </c>
      <c r="AD60" s="46">
        <f>AD55-25*COS(RADIANS(Tool!$G$28-Tool!$G$22-90))</f>
        <v>10412.147352971921</v>
      </c>
      <c r="AE60" s="32"/>
    </row>
    <row r="61" spans="5:31" x14ac:dyDescent="0.25">
      <c r="V61" s="6">
        <f>MOD(V60,Tool!$W$13)</f>
        <v>0</v>
      </c>
      <c r="W61" s="18">
        <f ca="1">$Q$39*COS(RADIANS(-$V59))</f>
        <v>-99.637219320442242</v>
      </c>
      <c r="X61" s="18"/>
      <c r="Y61" s="18">
        <f ca="1">$Q$39*SIN(RADIANS(-$V59))</f>
        <v>172.57672618788928</v>
      </c>
      <c r="Z61" s="18">
        <f ca="1">$Q$39*SIN(RADIANS(-$V59))</f>
        <v>172.57672618788928</v>
      </c>
      <c r="AA61" s="40"/>
      <c r="AB61" s="32"/>
      <c r="AC61" s="32"/>
      <c r="AD61" s="32"/>
      <c r="AE61" s="32"/>
    </row>
    <row r="62" spans="5:31" x14ac:dyDescent="0.25">
      <c r="V62" s="6">
        <f>(V60-V61)*360/Tool!$W$12/Tool!$W$13</f>
        <v>120</v>
      </c>
      <c r="W62" s="18">
        <f>$Q$40*COS(RADIANS(-$V59))</f>
        <v>-498.19047562152389</v>
      </c>
      <c r="X62" s="18"/>
      <c r="Y62" s="6"/>
      <c r="Z62" s="18">
        <f>$Q$40*SIN(RADIANS(-$V59))</f>
        <v>862.89121562338323</v>
      </c>
      <c r="AA62" s="40"/>
      <c r="AB62" s="32"/>
      <c r="AC62" s="32">
        <f>AC57-25*SIN(RADIANS(Tool!$G$29-Tool!$G$22+90))</f>
        <v>-2039.280339100294</v>
      </c>
      <c r="AD62" s="46">
        <f>AD57-25*COS(RADIANS(Tool!$G$29-Tool!$G$22+90))</f>
        <v>-14824.210748483194</v>
      </c>
      <c r="AE62" s="32"/>
    </row>
    <row r="63" spans="5:31" x14ac:dyDescent="0.25">
      <c r="V63" s="6">
        <f>90-(V61*Tool!$W$14+V62+Tool!$W$15)</f>
        <v>-50</v>
      </c>
      <c r="W63" s="18">
        <f>$Q$37*COS(RADIANS(-$V63))</f>
        <v>9.6280115136436648E-12</v>
      </c>
      <c r="X63" s="18">
        <f>$Q$37*SIN(RADIANS(-$V63))</f>
        <v>1.1474217310923254E-11</v>
      </c>
      <c r="Y63" s="6"/>
      <c r="Z63" s="6"/>
      <c r="AA63" s="40"/>
      <c r="AB63" s="32"/>
      <c r="AC63" s="32">
        <f>AC58-25/SIN(RADIANS(-Tool!G29))*SIN(RADIANS(-Tool!$G$22))</f>
        <v>574.62798356572375</v>
      </c>
      <c r="AD63" s="46">
        <f>AD58-25/SIN(RADIANS(-Tool!G29))*COS(RADIANS(Tool!$G$22))</f>
        <v>-3.5200229310640115E-14</v>
      </c>
      <c r="AE63" s="32"/>
    </row>
    <row r="64" spans="5:31" x14ac:dyDescent="0.25">
      <c r="V64" s="6">
        <f>V60+1</f>
        <v>4</v>
      </c>
      <c r="W64" s="18">
        <f>$Q$38*COS(RADIANS(-$V63))</f>
        <v>9.6280115136436648E-12</v>
      </c>
      <c r="X64" s="18">
        <f>$Q$38*SIN(RADIANS(-$V63))</f>
        <v>1.1474217310923254E-11</v>
      </c>
      <c r="Y64" s="18">
        <f>$Q$38*SIN(RADIANS(-$V63))</f>
        <v>1.1474217310923254E-11</v>
      </c>
      <c r="Z64" s="6"/>
      <c r="AA64" s="40"/>
      <c r="AB64" s="32"/>
      <c r="AC64" s="32">
        <f>AC59-25/SIN(RADIANS(Tool!G28))*SIN(RADIANS(-Tool!$G$22))</f>
        <v>694.26406871192819</v>
      </c>
      <c r="AD64" s="46">
        <f>AD59-25/SIN(RADIANS(Tool!G28))*COS(RADIANS(Tool!$G$22))</f>
        <v>-4.2528827554049571E-14</v>
      </c>
      <c r="AE64" s="32"/>
    </row>
    <row r="65" spans="22:31" x14ac:dyDescent="0.25">
      <c r="V65" s="6">
        <f>MOD(V64,Tool!$W$13)</f>
        <v>1</v>
      </c>
      <c r="W65" s="18">
        <f ca="1">$Q$39*COS(RADIANS(-$V63))</f>
        <v>-128.09114008560107</v>
      </c>
      <c r="X65" s="18"/>
      <c r="Y65" s="18">
        <f ca="1">$Q$39*SIN(RADIANS(-$V63))</f>
        <v>-152.65307637650326</v>
      </c>
      <c r="Z65" s="18">
        <f ca="1">$Q$39*SIN(RADIANS(-$V63))</f>
        <v>-152.65307637650326</v>
      </c>
      <c r="AA65" s="40"/>
      <c r="AB65" s="32"/>
      <c r="AC65" s="32">
        <f>AC60-25*SIN(RADIANS(Tool!$G$28-Tool!$G$22-90))</f>
        <v>11088.733752154169</v>
      </c>
      <c r="AD65" s="46">
        <f>AD60-25*COS(RADIANS(Tool!$G$28-Tool!$G$22-90))</f>
        <v>10394.469683442258</v>
      </c>
      <c r="AE65" s="32"/>
    </row>
    <row r="66" spans="22:31" x14ac:dyDescent="0.25">
      <c r="V66" s="6">
        <f>(V64-V65)*360/Tool!$W$12/Tool!$W$13</f>
        <v>120</v>
      </c>
      <c r="W66" s="18">
        <f>$Q$40*COS(RADIANS(-$V63))</f>
        <v>-640.46132998671885</v>
      </c>
      <c r="X66" s="18"/>
      <c r="Y66" s="6"/>
      <c r="Z66" s="18">
        <f>$Q$40*SIN(RADIANS(-$V63))</f>
        <v>-763.27209092933799</v>
      </c>
      <c r="AA66" s="40"/>
      <c r="AB66" s="32"/>
      <c r="AC66" s="32"/>
      <c r="AD66" s="46"/>
      <c r="AE66" s="32"/>
    </row>
    <row r="67" spans="22:31" x14ac:dyDescent="0.25">
      <c r="V67" s="6">
        <f>90-(V65*Tool!$W$14+V66+Tool!$W$15)</f>
        <v>-55</v>
      </c>
      <c r="W67" s="18">
        <f>$Q$37*COS(RADIANS(-$V67))</f>
        <v>8.5913300908765484E-12</v>
      </c>
      <c r="X67" s="18">
        <f>$Q$37*SIN(RADIANS(-$V67))</f>
        <v>1.226969094454889E-11</v>
      </c>
      <c r="Y67" s="6"/>
      <c r="Z67" s="6"/>
      <c r="AA67" s="40"/>
      <c r="AB67" s="32"/>
      <c r="AC67" s="32">
        <f>AC62-25*SIN(RADIANS(Tool!$G$29-Tool!$G$22+90))</f>
        <v>-2014.6601452749887</v>
      </c>
      <c r="AD67" s="46">
        <f>AD62-25*COS(RADIANS(Tool!$G$29-Tool!$G$22+90))</f>
        <v>-14828.551952924867</v>
      </c>
      <c r="AE67" s="32"/>
    </row>
    <row r="68" spans="22:31" x14ac:dyDescent="0.25">
      <c r="V68" s="6">
        <f>V64+1</f>
        <v>5</v>
      </c>
      <c r="W68" s="18">
        <f>$Q$38*COS(RADIANS(-$V67))</f>
        <v>8.5913300908765484E-12</v>
      </c>
      <c r="X68" s="18">
        <f>$Q$38*SIN(RADIANS(-$V67))</f>
        <v>1.226969094454889E-11</v>
      </c>
      <c r="Y68" s="18">
        <f>$Q$38*SIN(RADIANS(-$V67))</f>
        <v>1.226969094454889E-11</v>
      </c>
      <c r="Z68" s="6"/>
      <c r="AA68" s="40"/>
      <c r="AB68" s="32"/>
      <c r="AC68" s="32">
        <f>AC63-25/SIN(RADIANS(-Tool!G29))*SIN(RADIANS(-Tool!$G$22))</f>
        <v>600.0136488628674</v>
      </c>
      <c r="AD68" s="46">
        <f>AD63-25/SIN(RADIANS(-Tool!G29))*COS(RADIANS(Tool!$G$22))</f>
        <v>-3.6755289741421261E-14</v>
      </c>
      <c r="AE68" s="32"/>
    </row>
    <row r="69" spans="22:31" x14ac:dyDescent="0.25">
      <c r="V69" s="6">
        <f>MOD(V68,Tool!$W$13)</f>
        <v>2</v>
      </c>
      <c r="W69" s="18">
        <f ca="1">$Q$39*COS(RADIANS(-$V67))</f>
        <v>-114.2991223714937</v>
      </c>
      <c r="X69" s="18"/>
      <c r="Y69" s="18">
        <f ca="1">$Q$39*SIN(RADIANS(-$V67))</f>
        <v>-163.23606378722175</v>
      </c>
      <c r="Z69" s="18">
        <f ca="1">$Q$39*SIN(RADIANS(-$V67))</f>
        <v>-163.23606378722175</v>
      </c>
      <c r="AA69" s="40"/>
      <c r="AB69" s="32"/>
      <c r="AC69" s="32">
        <f>AC64-25/SIN(RADIANS(Tool!G28))*SIN(RADIANS(-Tool!$G$22))</f>
        <v>729.61940777125551</v>
      </c>
      <c r="AD69" s="46">
        <f>AD64-25/SIN(RADIANS(Tool!G28))*COS(RADIANS(Tool!$G$22))</f>
        <v>-4.4694604505114839E-14</v>
      </c>
      <c r="AE69" s="32"/>
    </row>
    <row r="70" spans="22:31" x14ac:dyDescent="0.25">
      <c r="V70" s="6">
        <f>(V68-V69)*360/Tool!$W$12/Tool!$W$13</f>
        <v>120</v>
      </c>
      <c r="W70" s="18">
        <f>$Q$40*COS(RADIANS(-$V67))</f>
        <v>-571.5006352620527</v>
      </c>
      <c r="X70" s="18"/>
      <c r="Y70" s="6"/>
      <c r="Z70" s="18">
        <f>$Q$40*SIN(RADIANS(-$V67))</f>
        <v>-816.18749310135263</v>
      </c>
      <c r="AA70" s="40"/>
      <c r="AB70" s="32"/>
      <c r="AC70" s="32">
        <f>AC65-25*SIN(RADIANS(Tool!$G$28-Tool!$G$22-90))</f>
        <v>11106.411421683832</v>
      </c>
      <c r="AD70" s="46">
        <f>AD65-25*COS(RADIANS(Tool!$G$28-Tool!$G$22-90))</f>
        <v>10376.792013912594</v>
      </c>
      <c r="AE70" s="32"/>
    </row>
    <row r="71" spans="22:31" x14ac:dyDescent="0.25">
      <c r="V71" s="6">
        <f>90-(V69*Tool!$W$14+V70+Tool!$W$15)</f>
        <v>-60</v>
      </c>
      <c r="W71" s="18">
        <f>$Q$37*COS(RADIANS(-$V71))</f>
        <v>7.4892634585309183E-12</v>
      </c>
      <c r="X71" s="18">
        <f>$Q$37*SIN(RADIANS(-$V71))</f>
        <v>1.2971784821444557E-11</v>
      </c>
      <c r="Y71" s="6"/>
      <c r="Z71" s="6"/>
      <c r="AA71" s="40"/>
      <c r="AB71" s="32"/>
      <c r="AC71" s="32"/>
      <c r="AD71" s="46"/>
      <c r="AE71" s="32"/>
    </row>
    <row r="72" spans="22:31" x14ac:dyDescent="0.25">
      <c r="V72" s="6">
        <f>V68+1</f>
        <v>6</v>
      </c>
      <c r="W72" s="18">
        <f>$Q$38*COS(RADIANS(-$V71))</f>
        <v>7.4892634585309183E-12</v>
      </c>
      <c r="X72" s="18">
        <f>$Q$38*SIN(RADIANS(-$V71))</f>
        <v>1.2971784821444557E-11</v>
      </c>
      <c r="Y72" s="18">
        <f>$Q$38*SIN(RADIANS(-$V71))</f>
        <v>1.2971784821444557E-11</v>
      </c>
      <c r="Z72" s="6"/>
      <c r="AA72" s="40"/>
      <c r="AB72" s="32"/>
      <c r="AC72" s="32">
        <f>AC67-25*SIN(RADIANS(Tool!$G$29-Tool!$G$22+90))</f>
        <v>-1990.0399514496835</v>
      </c>
      <c r="AD72" s="46">
        <f>AD67-25*COS(RADIANS(Tool!$G$29-Tool!$G$22+90))</f>
        <v>-14832.89315736654</v>
      </c>
      <c r="AE72" s="32"/>
    </row>
    <row r="73" spans="22:31" x14ac:dyDescent="0.25">
      <c r="V73" s="6">
        <f>MOD(V72,Tool!$W$13)</f>
        <v>0</v>
      </c>
      <c r="W73" s="18">
        <f ca="1">$Q$39*COS(RADIANS(-$V71))</f>
        <v>-99.637219320442242</v>
      </c>
      <c r="X73" s="18"/>
      <c r="Y73" s="18">
        <f ca="1">$Q$39*SIN(RADIANS(-$V71))</f>
        <v>-172.57672618788928</v>
      </c>
      <c r="Z73" s="18">
        <f ca="1">$Q$39*SIN(RADIANS(-$V71))</f>
        <v>-172.57672618788928</v>
      </c>
      <c r="AA73" s="40"/>
      <c r="AB73" s="32"/>
      <c r="AC73" s="32">
        <f>AC68-25/SIN(RADIANS(-Tool!G29))*SIN(RADIANS(-Tool!$G$22))</f>
        <v>625.39931416001104</v>
      </c>
      <c r="AD73" s="46">
        <f>AD68-25/SIN(RADIANS(-Tool!G29))*COS(RADIANS(Tool!$G$22))</f>
        <v>-3.8310350172202406E-14</v>
      </c>
      <c r="AE73" s="32"/>
    </row>
    <row r="74" spans="22:31" x14ac:dyDescent="0.25">
      <c r="V74" s="6">
        <f>(V72-V73)*360/Tool!$W$12/Tool!$W$13</f>
        <v>240</v>
      </c>
      <c r="W74" s="18">
        <f>$Q$40*COS(RADIANS(-$V71))</f>
        <v>-498.19047562152389</v>
      </c>
      <c r="X74" s="18"/>
      <c r="Y74" s="6"/>
      <c r="Z74" s="18">
        <f>$Q$40*SIN(RADIANS(-$V71))</f>
        <v>-862.89121562338323</v>
      </c>
      <c r="AA74" s="40"/>
      <c r="AB74" s="32"/>
      <c r="AC74" s="32">
        <f>AC69-25/SIN(RADIANS(Tool!G28))*SIN(RADIANS(-Tool!$G$22))</f>
        <v>764.97474683058283</v>
      </c>
      <c r="AD74" s="46">
        <f>AD69-25/SIN(RADIANS(Tool!G28))*COS(RADIANS(Tool!$G$22))</f>
        <v>-4.6860381456180108E-14</v>
      </c>
      <c r="AE74" s="32"/>
    </row>
    <row r="75" spans="22:31" x14ac:dyDescent="0.25">
      <c r="V75" s="6">
        <f>90-(V73*Tool!$W$14+V74+Tool!$W$15)</f>
        <v>-170</v>
      </c>
      <c r="W75" s="18">
        <f>$Q$37*COS(RADIANS(-$V75))</f>
        <v>-1.4750969436624541E-11</v>
      </c>
      <c r="X75" s="18">
        <f>$Q$37*SIN(RADIANS(-$V75))</f>
        <v>2.6009939032828505E-12</v>
      </c>
      <c r="Y75" s="6"/>
      <c r="Z75" s="6"/>
      <c r="AA75" s="40"/>
      <c r="AB75" s="32"/>
      <c r="AC75" s="32">
        <f>AC70-25*SIN(RADIANS(Tool!$G$28-Tool!$G$22-90))</f>
        <v>11124.089091213495</v>
      </c>
      <c r="AD75" s="46">
        <f>AD70-25*COS(RADIANS(Tool!$G$28-Tool!$G$22-90))</f>
        <v>10359.114344382931</v>
      </c>
      <c r="AE75" s="32"/>
    </row>
    <row r="76" spans="22:31" x14ac:dyDescent="0.25">
      <c r="V76" s="6">
        <f>V72+1</f>
        <v>7</v>
      </c>
      <c r="W76" s="18">
        <f>$Q$38*COS(RADIANS(-$V75))</f>
        <v>-1.4750969436624541E-11</v>
      </c>
      <c r="X76" s="18">
        <f>$Q$38*SIN(RADIANS(-$V75))</f>
        <v>2.6009939032828505E-12</v>
      </c>
      <c r="Y76" s="18">
        <f>$Q$38*SIN(RADIANS(-$V75))</f>
        <v>2.6009939032828505E-12</v>
      </c>
      <c r="Z76" s="6"/>
      <c r="AA76" s="40"/>
      <c r="AB76" s="32"/>
      <c r="AC76" s="32"/>
      <c r="AD76" s="46"/>
      <c r="AE76" s="32"/>
    </row>
    <row r="77" spans="22:31" x14ac:dyDescent="0.25">
      <c r="V77" s="6">
        <f>MOD(V76,Tool!$W$13)</f>
        <v>1</v>
      </c>
      <c r="W77" s="18">
        <f ca="1">$Q$39*COS(RADIANS(-$V75))</f>
        <v>196.24701215069851</v>
      </c>
      <c r="X77" s="18"/>
      <c r="Y77" s="18">
        <f ca="1">$Q$39*SIN(RADIANS(-$V75))</f>
        <v>-34.603643125590096</v>
      </c>
      <c r="Z77" s="18">
        <f ca="1">$Q$39*SIN(RADIANS(-$V75))</f>
        <v>-34.603643125590096</v>
      </c>
      <c r="AA77" s="40"/>
      <c r="AB77" s="32"/>
      <c r="AC77" s="32">
        <f>AC72-25*SIN(RADIANS(Tool!$G$29-Tool!$G$22+90))</f>
        <v>-1965.4197576243782</v>
      </c>
      <c r="AD77" s="46">
        <f>AD72-25*COS(RADIANS(Tool!$G$29-Tool!$G$22+90))</f>
        <v>-14837.234361808212</v>
      </c>
      <c r="AE77" s="32"/>
    </row>
    <row r="78" spans="22:31" x14ac:dyDescent="0.25">
      <c r="V78" s="6">
        <f>(V76-V77)*360/Tool!$W$12/Tool!$W$13</f>
        <v>240</v>
      </c>
      <c r="W78" s="18">
        <f>$Q$40*COS(RADIANS(-$V75))</f>
        <v>981.24368573783204</v>
      </c>
      <c r="X78" s="18"/>
      <c r="Y78" s="6"/>
      <c r="Z78" s="18">
        <f>$Q$40*SIN(RADIANS(-$V75))</f>
        <v>-173.01973644539771</v>
      </c>
      <c r="AA78" s="40"/>
      <c r="AB78" s="32"/>
      <c r="AC78" s="32">
        <f>AC73-25/SIN(RADIANS(-Tool!G29))*SIN(RADIANS(-Tool!$G$22))</f>
        <v>650.78497945715469</v>
      </c>
      <c r="AD78" s="46">
        <f>AD73-25/SIN(RADIANS(-Tool!G29))*COS(RADIANS(Tool!$G$22))</f>
        <v>-3.9865410602983552E-14</v>
      </c>
      <c r="AE78" s="32"/>
    </row>
    <row r="79" spans="22:31" x14ac:dyDescent="0.25">
      <c r="V79" s="6">
        <f>90-(V77*Tool!$W$14+V78+Tool!$W$15)</f>
        <v>-175</v>
      </c>
      <c r="W79" s="18">
        <f>$Q$37*COS(RADIANS(-$V79))</f>
        <v>-1.4921529100001498E-11</v>
      </c>
      <c r="X79" s="18">
        <f>$Q$37*SIN(RADIANS(-$V79))</f>
        <v>1.3054646387223149E-12</v>
      </c>
      <c r="Y79" s="6"/>
      <c r="Z79" s="6"/>
      <c r="AA79" s="40"/>
      <c r="AB79" s="32"/>
      <c r="AC79" s="32">
        <f>AC74-25/SIN(RADIANS(Tool!G28))*SIN(RADIANS(-Tool!$G$22))</f>
        <v>800.33008588991015</v>
      </c>
      <c r="AD79" s="46">
        <f>AD74-25/SIN(RADIANS(Tool!G28))*COS(RADIANS(Tool!$G$22))</f>
        <v>-4.9026158407245376E-14</v>
      </c>
      <c r="AE79" s="32"/>
    </row>
    <row r="80" spans="22:31" x14ac:dyDescent="0.25">
      <c r="V80" s="6">
        <f>V76+1</f>
        <v>8</v>
      </c>
      <c r="W80" s="18">
        <f>$Q$38*COS(RADIANS(-$V79))</f>
        <v>-1.4921529100001498E-11</v>
      </c>
      <c r="X80" s="18">
        <f>$Q$38*SIN(RADIANS(-$V79))</f>
        <v>1.3054646387223149E-12</v>
      </c>
      <c r="Y80" s="18">
        <f>$Q$38*SIN(RADIANS(-$V79))</f>
        <v>1.3054646387223149E-12</v>
      </c>
      <c r="Z80" s="6"/>
      <c r="AA80" s="40"/>
      <c r="AB80" s="32"/>
      <c r="AC80" s="32">
        <f>AC75-25*SIN(RADIANS(Tool!$G$28-Tool!$G$22-90))</f>
        <v>11141.766760743158</v>
      </c>
      <c r="AD80" s="46">
        <f>AD75-25*COS(RADIANS(Tool!$G$28-Tool!$G$22-90))</f>
        <v>10341.436674853268</v>
      </c>
      <c r="AE80" s="32"/>
    </row>
    <row r="81" spans="22:31" x14ac:dyDescent="0.25">
      <c r="V81" s="6">
        <f>MOD(V80,Tool!$W$13)</f>
        <v>2</v>
      </c>
      <c r="W81" s="18">
        <f ca="1">$Q$39*COS(RADIANS(-$V79))</f>
        <v>198.51613923925794</v>
      </c>
      <c r="X81" s="18"/>
      <c r="Y81" s="18">
        <f ca="1">$Q$39*SIN(RADIANS(-$V79))</f>
        <v>-17.367911710368922</v>
      </c>
      <c r="Z81" s="18">
        <f ca="1">$Q$39*SIN(RADIANS(-$V79))</f>
        <v>-17.367911710368922</v>
      </c>
      <c r="AA81" s="40"/>
      <c r="AB81" s="32"/>
      <c r="AC81" s="32"/>
      <c r="AD81" s="46"/>
      <c r="AE81" s="32"/>
    </row>
    <row r="82" spans="22:31" x14ac:dyDescent="0.25">
      <c r="V82" s="6">
        <f>(V80-V81)*360/Tool!$W$12/Tool!$W$13</f>
        <v>240</v>
      </c>
      <c r="W82" s="18">
        <f>$Q$40*COS(RADIANS(-$V79))</f>
        <v>992.58942090793403</v>
      </c>
      <c r="X82" s="18"/>
      <c r="Y82" s="6"/>
      <c r="Z82" s="18">
        <f>$Q$40*SIN(RADIANS(-$V79))</f>
        <v>-86.840321865206008</v>
      </c>
      <c r="AA82" s="40"/>
      <c r="AB82" s="32"/>
      <c r="AC82" s="32">
        <f>AC77-25*SIN(RADIANS(Tool!$G$29-Tool!$G$22+90))</f>
        <v>-1940.799563799073</v>
      </c>
      <c r="AD82" s="46">
        <f>AD77-25*COS(RADIANS(Tool!$G$29-Tool!$G$22+90))</f>
        <v>-14841.575566249885</v>
      </c>
      <c r="AE82" s="32"/>
    </row>
    <row r="83" spans="22:31" x14ac:dyDescent="0.25">
      <c r="V83" s="6">
        <f>90-(V81*Tool!$W$14+V82+Tool!$W$15)</f>
        <v>-180</v>
      </c>
      <c r="W83" s="18">
        <f>$Q$37*COS(RADIANS(-$V83))</f>
        <v>-1.4978526917061833E-11</v>
      </c>
      <c r="X83" s="18">
        <f>$Q$37*SIN(RADIANS(-$V83))</f>
        <v>1.835091910924548E-27</v>
      </c>
      <c r="Y83" s="6"/>
      <c r="Z83" s="6"/>
      <c r="AA83" s="40"/>
      <c r="AB83" s="32"/>
      <c r="AC83" s="32">
        <f>AC78-25/SIN(RADIANS(-Tool!G29))*SIN(RADIANS(-Tool!$G$22))</f>
        <v>676.17064475429834</v>
      </c>
      <c r="AD83" s="46">
        <f>AD78-25/SIN(RADIANS(-Tool!G29))*COS(RADIANS(Tool!$G$22))</f>
        <v>-4.1420471033764697E-14</v>
      </c>
      <c r="AE83" s="32"/>
    </row>
    <row r="84" spans="22:31" x14ac:dyDescent="0.25">
      <c r="V84" s="6">
        <f>V80+1</f>
        <v>9</v>
      </c>
      <c r="W84" s="18">
        <f>$Q$38*COS(RADIANS(-$V83))</f>
        <v>-1.4978526917061833E-11</v>
      </c>
      <c r="X84" s="18">
        <f>$Q$38*SIN(RADIANS(-$V83))</f>
        <v>1.835091910924548E-27</v>
      </c>
      <c r="Y84" s="18">
        <f>$Q$38*SIN(RADIANS(-$V83))</f>
        <v>1.835091910924548E-27</v>
      </c>
      <c r="Z84" s="6"/>
      <c r="AA84" s="40"/>
      <c r="AB84" s="32"/>
      <c r="AC84" s="32">
        <f>AC79-25/SIN(RADIANS(Tool!G28))*SIN(RADIANS(-Tool!$G$22))</f>
        <v>835.68542494923747</v>
      </c>
      <c r="AD84" s="46">
        <f>AD79-25/SIN(RADIANS(Tool!G28))*COS(RADIANS(Tool!$G$22))</f>
        <v>-5.1191935358310644E-14</v>
      </c>
      <c r="AE84" s="32"/>
    </row>
    <row r="85" spans="22:31" x14ac:dyDescent="0.25">
      <c r="V85" s="6">
        <f>MOD(V84,Tool!$W$13)</f>
        <v>0</v>
      </c>
      <c r="W85" s="18">
        <f ca="1">$Q$39*COS(RADIANS(-$V83))</f>
        <v>199.27443864088443</v>
      </c>
      <c r="X85" s="18"/>
      <c r="Y85" s="18">
        <f ca="1">$Q$39*SIN(RADIANS(-$V83))</f>
        <v>-2.4414077060366216E-14</v>
      </c>
      <c r="Z85" s="18">
        <f ca="1">$Q$39*SIN(RADIANS(-$V83))</f>
        <v>-2.4414077060366216E-14</v>
      </c>
      <c r="AA85" s="40"/>
      <c r="AB85" s="32"/>
      <c r="AC85" s="32">
        <f>AC80-25*SIN(RADIANS(Tool!$G$28-Tool!$G$22-90))</f>
        <v>11159.444430272821</v>
      </c>
      <c r="AD85" s="46">
        <f>AD80-25*COS(RADIANS(Tool!$G$28-Tool!$G$22-90))</f>
        <v>10323.759005323605</v>
      </c>
      <c r="AE85" s="32"/>
    </row>
    <row r="86" spans="22:31" x14ac:dyDescent="0.25">
      <c r="V86" s="6">
        <f>(V84-V85)*360/Tool!$W$12/Tool!$W$13</f>
        <v>360</v>
      </c>
      <c r="W86" s="18">
        <f>$Q$40*COS(RADIANS(-$V83))</f>
        <v>996.38095124304755</v>
      </c>
      <c r="X86" s="18"/>
      <c r="Y86" s="6"/>
      <c r="Z86" s="18">
        <f>$Q$40*SIN(RADIANS(-$V83))</f>
        <v>-1.2207145829158009E-13</v>
      </c>
      <c r="AA86" s="40"/>
      <c r="AB86" s="32"/>
      <c r="AC86" s="32"/>
      <c r="AD86" s="32"/>
      <c r="AE86" s="32"/>
    </row>
    <row r="87" spans="22:31" x14ac:dyDescent="0.25">
      <c r="V87" s="6">
        <f>90-(V85*Tool!$W$14+V86+Tool!$W$15)</f>
        <v>-290</v>
      </c>
      <c r="W87" s="18">
        <f>$Q$37*COS(RADIANS(-$V87))</f>
        <v>5.1229579229808794E-12</v>
      </c>
      <c r="X87" s="18">
        <f>$Q$37*SIN(RADIANS(-$V87))</f>
        <v>-1.4075211214206106E-11</v>
      </c>
      <c r="Y87" s="6"/>
      <c r="Z87" s="6"/>
      <c r="AA87" s="40"/>
      <c r="AB87" s="32"/>
      <c r="AC87" s="32">
        <f>AC82-25*SIN(RADIANS(Tool!$G$29-Tool!$G$22+90))</f>
        <v>-1916.1793699737677</v>
      </c>
      <c r="AD87" s="46">
        <f>AD82-25*COS(RADIANS(Tool!$G$29-Tool!$G$22+90))</f>
        <v>-14845.916770691558</v>
      </c>
      <c r="AE87" s="32"/>
    </row>
    <row r="88" spans="22:31" x14ac:dyDescent="0.25">
      <c r="V88" s="6">
        <f>V84+1</f>
        <v>10</v>
      </c>
      <c r="W88" s="18">
        <f>$Q$38*COS(RADIANS(-$V87))</f>
        <v>5.1229579229808794E-12</v>
      </c>
      <c r="X88" s="18">
        <f>$Q$38*SIN(RADIANS(-$V87))</f>
        <v>-1.4075211214206106E-11</v>
      </c>
      <c r="Y88" s="18">
        <f>$Q$38*SIN(RADIANS(-$V87))</f>
        <v>-1.4075211214206106E-11</v>
      </c>
      <c r="Z88" s="6"/>
      <c r="AA88" s="40"/>
      <c r="AB88" s="32"/>
      <c r="AC88" s="32">
        <f>AC83-25/SIN(RADIANS(-Tool!G29))*SIN(RADIANS(-Tool!$G$22))</f>
        <v>701.55631005144198</v>
      </c>
      <c r="AD88" s="46">
        <f>AD83-25/SIN(RADIANS(-Tool!G29))*COS(RADIANS(Tool!$G$22))</f>
        <v>-4.2975531464545843E-14</v>
      </c>
      <c r="AE88" s="32"/>
    </row>
    <row r="89" spans="22:31" x14ac:dyDescent="0.25">
      <c r="V89" s="6">
        <f>MOD(V88,Tool!$W$13)</f>
        <v>1</v>
      </c>
      <c r="W89" s="18">
        <f ca="1">$Q$39*COS(RADIANS(-$V87))</f>
        <v>-68.155872065097526</v>
      </c>
      <c r="X89" s="18"/>
      <c r="Y89" s="18">
        <f ca="1">$Q$39*SIN(RADIANS(-$V87))</f>
        <v>187.25671950209338</v>
      </c>
      <c r="Z89" s="18">
        <f ca="1">$Q$39*SIN(RADIANS(-$V87))</f>
        <v>187.25671950209338</v>
      </c>
      <c r="AA89" s="40"/>
      <c r="AB89" s="32"/>
      <c r="AC89" s="32">
        <f>AC84-25/SIN(RADIANS(Tool!G28))*SIN(RADIANS(-Tool!$G$22))</f>
        <v>871.04076400856479</v>
      </c>
      <c r="AD89" s="46">
        <f>AD84-25/SIN(RADIANS(Tool!G28))*COS(RADIANS(Tool!$G$22))</f>
        <v>-5.3357712309375913E-14</v>
      </c>
      <c r="AE89" s="32"/>
    </row>
    <row r="90" spans="22:31" x14ac:dyDescent="0.25">
      <c r="V90" s="6">
        <f>(V88-V89)*360/Tool!$W$12/Tool!$W$13</f>
        <v>360</v>
      </c>
      <c r="W90" s="18">
        <f>$Q$40*COS(RADIANS(-$V87))</f>
        <v>-340.78235575111353</v>
      </c>
      <c r="X90" s="18"/>
      <c r="Y90" s="6"/>
      <c r="Z90" s="18">
        <f>$Q$40*SIN(RADIANS(-$V87))</f>
        <v>936.2918273747357</v>
      </c>
      <c r="AA90" s="40"/>
      <c r="AB90" s="32"/>
      <c r="AC90" s="32">
        <f>AC85-25*SIN(RADIANS(Tool!$G$28-Tool!$G$22-90))</f>
        <v>11177.122099802484</v>
      </c>
      <c r="AD90" s="46">
        <f>AD85-25*COS(RADIANS(Tool!$G$28-Tool!$G$22-90))</f>
        <v>10306.081335793942</v>
      </c>
      <c r="AE90" s="32"/>
    </row>
    <row r="91" spans="22:31" x14ac:dyDescent="0.25">
      <c r="V91" s="6">
        <f>90-(V89*Tool!$W$14+V90+Tool!$W$15)</f>
        <v>-295</v>
      </c>
      <c r="W91" s="18">
        <f>$Q$37*COS(RADIANS(-$V91))</f>
        <v>6.3301990091249525E-12</v>
      </c>
      <c r="X91" s="18">
        <f>$Q$37*SIN(RADIANS(-$V91))</f>
        <v>-1.3575155583271204E-11</v>
      </c>
      <c r="Y91" s="6"/>
      <c r="Z91" s="6"/>
      <c r="AA91" s="40"/>
      <c r="AB91" s="32"/>
      <c r="AC91" s="32"/>
      <c r="AD91" s="46"/>
      <c r="AE91" s="32"/>
    </row>
    <row r="92" spans="22:31" x14ac:dyDescent="0.25">
      <c r="V92" s="6">
        <f>V88+1</f>
        <v>11</v>
      </c>
      <c r="W92" s="18">
        <f>$Q$38*COS(RADIANS(-$V91))</f>
        <v>6.3301990091249525E-12</v>
      </c>
      <c r="X92" s="18">
        <f>$Q$38*SIN(RADIANS(-$V91))</f>
        <v>-1.3575155583271204E-11</v>
      </c>
      <c r="Y92" s="18">
        <f>$Q$38*SIN(RADIANS(-$V91))</f>
        <v>-1.3575155583271204E-11</v>
      </c>
      <c r="Z92" s="6"/>
      <c r="AA92" s="40"/>
      <c r="AB92" s="32"/>
      <c r="AC92" s="32">
        <f>AC87-25*SIN(RADIANS(Tool!$G$29-Tool!$G$22+90))</f>
        <v>-1891.5591761484625</v>
      </c>
      <c r="AD92" s="46">
        <f>AD87-25*COS(RADIANS(Tool!$G$29-Tool!$G$22+90))</f>
        <v>-14850.257975133231</v>
      </c>
      <c r="AE92" s="32"/>
    </row>
    <row r="93" spans="22:31" x14ac:dyDescent="0.25">
      <c r="V93" s="6">
        <f>MOD(V92,Tool!$W$13)</f>
        <v>2</v>
      </c>
      <c r="W93" s="18">
        <f ca="1">$Q$39*COS(RADIANS(-$V91))</f>
        <v>-84.217016867764272</v>
      </c>
      <c r="X93" s="18"/>
      <c r="Y93" s="18">
        <f ca="1">$Q$39*SIN(RADIANS(-$V91))</f>
        <v>180.60397549759065</v>
      </c>
      <c r="Z93" s="18">
        <f ca="1">$Q$39*SIN(RADIANS(-$V91))</f>
        <v>180.60397549759065</v>
      </c>
      <c r="AA93" s="40"/>
      <c r="AB93" s="32"/>
      <c r="AC93" s="32">
        <f>AC88-25/SIN(RADIANS(-Tool!G29))*SIN(RADIANS(-Tool!$G$22))</f>
        <v>726.94197534858563</v>
      </c>
      <c r="AD93" s="46">
        <f>AD88-25/SIN(RADIANS(-Tool!G29))*COS(RADIANS(Tool!$G$22))</f>
        <v>-4.4530591895326988E-14</v>
      </c>
      <c r="AE93" s="32"/>
    </row>
    <row r="94" spans="22:31" x14ac:dyDescent="0.25">
      <c r="V94" s="6">
        <f>(V92-V93)*360/Tool!$W$12/Tool!$W$13</f>
        <v>360</v>
      </c>
      <c r="W94" s="18">
        <f>$Q$40*COS(RADIANS(-$V91))</f>
        <v>-421.0887856458815</v>
      </c>
      <c r="X94" s="18"/>
      <c r="Y94" s="6"/>
      <c r="Z94" s="18">
        <f>$Q$40*SIN(RADIANS(-$V91))</f>
        <v>903.02781496655859</v>
      </c>
      <c r="AA94" s="40"/>
      <c r="AB94" s="32"/>
      <c r="AC94" s="32">
        <f>AC89-25/SIN(RADIANS(Tool!G28))*SIN(RADIANS(-Tool!$G$22))</f>
        <v>906.39610306789211</v>
      </c>
      <c r="AD94" s="46">
        <f>AD89-25/SIN(RADIANS(Tool!G28))*COS(RADIANS(Tool!$G$22))</f>
        <v>-5.5523489260441181E-14</v>
      </c>
      <c r="AE94" s="32"/>
    </row>
    <row r="95" spans="22:31" x14ac:dyDescent="0.25">
      <c r="V95" s="6">
        <f>90-(V93*Tool!$W$14+V94+Tool!$W$15)</f>
        <v>-300</v>
      </c>
      <c r="W95" s="18">
        <f>$Q$37*COS(RADIANS(-$V95))</f>
        <v>7.4892634585309183E-12</v>
      </c>
      <c r="X95" s="18">
        <f>$Q$37*SIN(RADIANS(-$V95))</f>
        <v>-1.2971784821444557E-11</v>
      </c>
      <c r="Y95" s="6"/>
      <c r="Z95" s="6"/>
      <c r="AA95" s="40"/>
      <c r="AB95" s="32"/>
      <c r="AC95" s="32">
        <f>AC90-25*SIN(RADIANS(Tool!$G$28-Tool!$G$22-90))</f>
        <v>11194.799769332147</v>
      </c>
      <c r="AD95" s="46">
        <f>AD90-25*COS(RADIANS(Tool!$G$28-Tool!$G$22-90))</f>
        <v>10288.403666264279</v>
      </c>
      <c r="AE95" s="32"/>
    </row>
    <row r="96" spans="22:31" x14ac:dyDescent="0.25">
      <c r="V96" s="6">
        <f>V92+1</f>
        <v>12</v>
      </c>
      <c r="W96" s="18">
        <f>$Q$38*COS(RADIANS(-$V95))</f>
        <v>7.4892634585309183E-12</v>
      </c>
      <c r="X96" s="18">
        <f>$Q$38*SIN(RADIANS(-$V95))</f>
        <v>-1.2971784821444557E-11</v>
      </c>
      <c r="Y96" s="18">
        <f>$Q$38*SIN(RADIANS(-$V95))</f>
        <v>-1.2971784821444557E-11</v>
      </c>
      <c r="Z96" s="6"/>
      <c r="AA96" s="40"/>
      <c r="AB96" s="32"/>
      <c r="AC96" s="32"/>
      <c r="AD96" s="46"/>
      <c r="AE96" s="32"/>
    </row>
    <row r="97" spans="22:31" x14ac:dyDescent="0.25">
      <c r="V97" s="6">
        <f>MOD(V96,Tool!$W$13)</f>
        <v>0</v>
      </c>
      <c r="W97" s="18">
        <f ca="1">$Q$39*COS(RADIANS(-$V95))</f>
        <v>-99.637219320442242</v>
      </c>
      <c r="X97" s="18"/>
      <c r="Y97" s="18">
        <f ca="1">$Q$39*SIN(RADIANS(-$V95))</f>
        <v>172.57672618788928</v>
      </c>
      <c r="Z97" s="18">
        <f ca="1">$Q$39*SIN(RADIANS(-$V95))</f>
        <v>172.57672618788928</v>
      </c>
      <c r="AA97" s="40"/>
      <c r="AB97" s="32"/>
      <c r="AC97" s="32">
        <f>AC92-25*SIN(RADIANS(Tool!$G$29-Tool!$G$22+90))</f>
        <v>-1866.9389823231572</v>
      </c>
      <c r="AD97" s="46">
        <f>AD92-25*COS(RADIANS(Tool!$G$29-Tool!$G$22+90))</f>
        <v>-14854.599179574903</v>
      </c>
      <c r="AE97" s="32"/>
    </row>
    <row r="98" spans="22:31" x14ac:dyDescent="0.25">
      <c r="V98" s="6">
        <f>(V96-V97)*360/Tool!$W$12/Tool!$W$13</f>
        <v>480</v>
      </c>
      <c r="W98" s="18">
        <f>$Q$40*COS(RADIANS(-$V95))</f>
        <v>-498.19047562152389</v>
      </c>
      <c r="X98" s="18"/>
      <c r="Y98" s="6"/>
      <c r="Z98" s="18">
        <f>$Q$40*SIN(RADIANS(-$V95))</f>
        <v>862.89121562338323</v>
      </c>
      <c r="AA98" s="40"/>
      <c r="AB98" s="32"/>
      <c r="AC98" s="32">
        <f>AC93-25/SIN(RADIANS(-Tool!G29))*SIN(RADIANS(-Tool!$G$22))</f>
        <v>752.32764064572928</v>
      </c>
      <c r="AD98" s="46">
        <f>AD93-25/SIN(RADIANS(-Tool!G29))*COS(RADIANS(Tool!$G$22))</f>
        <v>-4.6085652326108134E-14</v>
      </c>
      <c r="AE98" s="32"/>
    </row>
    <row r="99" spans="22:31" x14ac:dyDescent="0.25">
      <c r="V99" s="6">
        <f>90-(V97*Tool!$W$14+V98+Tool!$W$15)</f>
        <v>-410</v>
      </c>
      <c r="W99" s="18">
        <f>$Q$37*COS(RADIANS(-$V99))</f>
        <v>9.6280115136436696E-12</v>
      </c>
      <c r="X99" s="18">
        <f>$Q$37*SIN(RADIANS(-$V99))</f>
        <v>1.1474217310923251E-11</v>
      </c>
      <c r="Y99" s="6"/>
      <c r="Z99" s="6"/>
      <c r="AA99" s="40"/>
      <c r="AB99" s="32"/>
      <c r="AC99" s="32">
        <f>AC94-25/SIN(RADIANS(Tool!G28))*SIN(RADIANS(-Tool!$G$22))</f>
        <v>941.75144212721943</v>
      </c>
      <c r="AD99" s="46">
        <f>AD94-25/SIN(RADIANS(Tool!G28))*COS(RADIANS(Tool!$G$22))</f>
        <v>-5.7689266211506443E-14</v>
      </c>
      <c r="AE99" s="32"/>
    </row>
    <row r="100" spans="22:31" x14ac:dyDescent="0.25">
      <c r="V100" s="6">
        <f>V96+1</f>
        <v>13</v>
      </c>
      <c r="W100" s="18">
        <f>$Q$38*COS(RADIANS(-$V99))</f>
        <v>9.6280115136436696E-12</v>
      </c>
      <c r="X100" s="18">
        <f>$Q$38*SIN(RADIANS(-$V99))</f>
        <v>1.1474217310923251E-11</v>
      </c>
      <c r="Y100" s="18">
        <f>$Q$38*SIN(RADIANS(-$V99))</f>
        <v>1.1474217310923251E-11</v>
      </c>
      <c r="Z100" s="6"/>
      <c r="AA100" s="40"/>
      <c r="AB100" s="32"/>
      <c r="AC100" s="32">
        <f>AC95-25*SIN(RADIANS(Tool!$G$28-Tool!$G$22-90))</f>
        <v>11212.47743886181</v>
      </c>
      <c r="AD100" s="46">
        <f>AD95-25*COS(RADIANS(Tool!$G$28-Tool!$G$22-90))</f>
        <v>10270.725996734616</v>
      </c>
      <c r="AE100" s="32"/>
    </row>
    <row r="101" spans="22:31" x14ac:dyDescent="0.25">
      <c r="V101" s="6">
        <f>MOD(V100,Tool!$W$13)</f>
        <v>1</v>
      </c>
      <c r="W101" s="18">
        <f ca="1">$Q$39*COS(RADIANS(-$V99))</f>
        <v>-128.0911400856011</v>
      </c>
      <c r="X101" s="18"/>
      <c r="Y101" s="18">
        <f ca="1">$Q$39*SIN(RADIANS(-$V99))</f>
        <v>-152.65307637650321</v>
      </c>
      <c r="Z101" s="18">
        <f ca="1">$Q$39*SIN(RADIANS(-$V99))</f>
        <v>-152.65307637650321</v>
      </c>
      <c r="AA101" s="40"/>
      <c r="AB101" s="32"/>
      <c r="AC101" s="32"/>
      <c r="AD101" s="46"/>
      <c r="AE101" s="32"/>
    </row>
    <row r="102" spans="22:31" x14ac:dyDescent="0.25">
      <c r="V102" s="6">
        <f>(V100-V101)*360/Tool!$W$12/Tool!$W$13</f>
        <v>480</v>
      </c>
      <c r="W102" s="18">
        <f>$Q$40*COS(RADIANS(-$V99))</f>
        <v>-640.46132998671908</v>
      </c>
      <c r="X102" s="18"/>
      <c r="Y102" s="6"/>
      <c r="Z102" s="18">
        <f>$Q$40*SIN(RADIANS(-$V99))</f>
        <v>-763.27209092933776</v>
      </c>
      <c r="AA102" s="40"/>
      <c r="AB102" s="32"/>
      <c r="AC102" s="32">
        <f>AC97-25*SIN(RADIANS(Tool!$G$29-Tool!$G$22+90))</f>
        <v>-1842.318788497852</v>
      </c>
      <c r="AD102" s="46">
        <f>AD97-25*COS(RADIANS(Tool!$G$29-Tool!$G$22+90))</f>
        <v>-14858.940384016576</v>
      </c>
      <c r="AE102" s="32"/>
    </row>
    <row r="103" spans="22:31" x14ac:dyDescent="0.25">
      <c r="V103" s="6">
        <f>90-(V101*Tool!$W$14+V102+Tool!$W$15)</f>
        <v>-415</v>
      </c>
      <c r="W103" s="18">
        <f>$Q$37*COS(RADIANS(-$V103))</f>
        <v>8.5913300908765532E-12</v>
      </c>
      <c r="X103" s="18">
        <f>$Q$37*SIN(RADIANS(-$V103))</f>
        <v>1.2269690944548886E-11</v>
      </c>
      <c r="Y103" s="6"/>
      <c r="Z103" s="6"/>
      <c r="AA103" s="40"/>
      <c r="AB103" s="32"/>
      <c r="AC103" s="32">
        <f>AC98-25/SIN(RADIANS(-Tool!G29))*SIN(RADIANS(-Tool!$G$22))</f>
        <v>777.71330594287292</v>
      </c>
      <c r="AD103" s="46">
        <f>AD98-25/SIN(RADIANS(-Tool!G29))*COS(RADIANS(Tool!$G$22))</f>
        <v>-4.7640712756889279E-14</v>
      </c>
      <c r="AE103" s="32"/>
    </row>
    <row r="104" spans="22:31" x14ac:dyDescent="0.25">
      <c r="V104" s="6">
        <f>V100+1</f>
        <v>14</v>
      </c>
      <c r="W104" s="18">
        <f>$Q$38*COS(RADIANS(-$V103))</f>
        <v>8.5913300908765532E-12</v>
      </c>
      <c r="X104" s="18">
        <f>$Q$38*SIN(RADIANS(-$V103))</f>
        <v>1.2269690944548886E-11</v>
      </c>
      <c r="Y104" s="18">
        <f>$Q$38*SIN(RADIANS(-$V103))</f>
        <v>1.2269690944548886E-11</v>
      </c>
      <c r="Z104" s="6"/>
      <c r="AA104" s="40"/>
      <c r="AB104" s="32"/>
      <c r="AC104" s="32">
        <f>AC99-25/SIN(RADIANS(Tool!G28))*SIN(RADIANS(-Tool!$G$22))</f>
        <v>977.10678118654675</v>
      </c>
      <c r="AD104" s="46">
        <f>AD99-25/SIN(RADIANS(Tool!G28))*COS(RADIANS(Tool!$G$22))</f>
        <v>-5.9855043162571711E-14</v>
      </c>
      <c r="AE104" s="32"/>
    </row>
    <row r="105" spans="22:31" x14ac:dyDescent="0.25">
      <c r="V105" s="6">
        <f>MOD(V104,Tool!$W$13)</f>
        <v>2</v>
      </c>
      <c r="W105" s="18">
        <f ca="1">$Q$39*COS(RADIANS(-$V103))</f>
        <v>-114.29912237149377</v>
      </c>
      <c r="X105" s="18"/>
      <c r="Y105" s="18">
        <f ca="1">$Q$39*SIN(RADIANS(-$V103))</f>
        <v>-163.23606378722167</v>
      </c>
      <c r="Z105" s="18">
        <f ca="1">$Q$39*SIN(RADIANS(-$V103))</f>
        <v>-163.23606378722167</v>
      </c>
      <c r="AA105" s="40"/>
      <c r="AB105" s="32"/>
      <c r="AC105" s="32">
        <f>AC100-25*SIN(RADIANS(Tool!$G$28-Tool!$G$22-90))</f>
        <v>11230.155108391473</v>
      </c>
      <c r="AD105" s="46">
        <f>AD100-25*COS(RADIANS(Tool!$G$28-Tool!$G$22-90))</f>
        <v>10253.048327204953</v>
      </c>
      <c r="AE105" s="32"/>
    </row>
    <row r="106" spans="22:31" x14ac:dyDescent="0.25">
      <c r="V106" s="6">
        <f>(V104-V105)*360/Tool!$W$12/Tool!$W$13</f>
        <v>480</v>
      </c>
      <c r="W106" s="18">
        <f>$Q$40*COS(RADIANS(-$V103))</f>
        <v>-571.50063526205304</v>
      </c>
      <c r="X106" s="18"/>
      <c r="Y106" s="6"/>
      <c r="Z106" s="18">
        <f>$Q$40*SIN(RADIANS(-$V103))</f>
        <v>-816.18749310135229</v>
      </c>
      <c r="AA106" s="40"/>
      <c r="AB106" s="32"/>
      <c r="AC106" s="32"/>
      <c r="AD106" s="46"/>
      <c r="AE106" s="32"/>
    </row>
    <row r="107" spans="22:31" x14ac:dyDescent="0.25">
      <c r="V107" s="6">
        <f>90-(V105*Tool!$W$14+V106+Tool!$W$15)</f>
        <v>-420</v>
      </c>
      <c r="W107" s="18">
        <f>$Q$37*COS(RADIANS(-$V107))</f>
        <v>7.4892634585309119E-12</v>
      </c>
      <c r="X107" s="18">
        <f>$Q$37*SIN(RADIANS(-$V107))</f>
        <v>1.297178482144456E-11</v>
      </c>
      <c r="Y107" s="6"/>
      <c r="Z107" s="6"/>
      <c r="AA107" s="40"/>
      <c r="AB107" s="32"/>
      <c r="AC107" s="32">
        <f>AC102-25*SIN(RADIANS(Tool!$G$29-Tool!$G$22+90))</f>
        <v>-1817.6985946725467</v>
      </c>
      <c r="AD107" s="46">
        <f>AD102-25*COS(RADIANS(Tool!$G$29-Tool!$G$22+90))</f>
        <v>-14863.281588458249</v>
      </c>
      <c r="AE107" s="32"/>
    </row>
    <row r="108" spans="22:31" x14ac:dyDescent="0.25">
      <c r="V108" s="6">
        <f>V104+1</f>
        <v>15</v>
      </c>
      <c r="W108" s="18">
        <f>$Q$38*COS(RADIANS(-$V107))</f>
        <v>7.4892634585309119E-12</v>
      </c>
      <c r="X108" s="18">
        <f>$Q$38*SIN(RADIANS(-$V107))</f>
        <v>1.297178482144456E-11</v>
      </c>
      <c r="Y108" s="18">
        <f>$Q$38*SIN(RADIANS(-$V107))</f>
        <v>1.297178482144456E-11</v>
      </c>
      <c r="Z108" s="6"/>
      <c r="AA108" s="40"/>
      <c r="AB108" s="32"/>
      <c r="AC108" s="32">
        <f>AC103-25/SIN(RADIANS(-Tool!G29))*SIN(RADIANS(-Tool!$G$22))</f>
        <v>803.09897124001657</v>
      </c>
      <c r="AD108" s="46">
        <f>AD103-25/SIN(RADIANS(-Tool!G29))*COS(RADIANS(Tool!$G$22))</f>
        <v>-4.9195773187670424E-14</v>
      </c>
      <c r="AE108" s="32"/>
    </row>
    <row r="109" spans="22:31" x14ac:dyDescent="0.25">
      <c r="V109" s="6">
        <f>MOD(V108,Tool!$W$13)</f>
        <v>0</v>
      </c>
      <c r="W109" s="18">
        <f ca="1">$Q$39*COS(RADIANS(-$V107))</f>
        <v>-99.637219320442156</v>
      </c>
      <c r="X109" s="18"/>
      <c r="Y109" s="18">
        <f ca="1">$Q$39*SIN(RADIANS(-$V107))</f>
        <v>-172.57672618788931</v>
      </c>
      <c r="Z109" s="18">
        <f ca="1">$Q$39*SIN(RADIANS(-$V107))</f>
        <v>-172.57672618788931</v>
      </c>
      <c r="AA109" s="40"/>
      <c r="AB109" s="32"/>
      <c r="AC109" s="32">
        <f>AC104-25/SIN(RADIANS(Tool!G28))*SIN(RADIANS(-Tool!$G$22))</f>
        <v>1012.4621202458741</v>
      </c>
      <c r="AD109" s="46">
        <f>AD104-25/SIN(RADIANS(Tool!G28))*COS(RADIANS(Tool!$G$22))</f>
        <v>-6.202082011363698E-14</v>
      </c>
      <c r="AE109" s="32"/>
    </row>
    <row r="110" spans="22:31" x14ac:dyDescent="0.25">
      <c r="V110" s="6">
        <f>(V108-V109)*360/Tool!$W$12/Tool!$W$13</f>
        <v>600</v>
      </c>
      <c r="W110" s="18">
        <f>$Q$40*COS(RADIANS(-$V107))</f>
        <v>-498.19047562152349</v>
      </c>
      <c r="X110" s="18"/>
      <c r="Y110" s="6"/>
      <c r="Z110" s="18">
        <f>$Q$40*SIN(RADIANS(-$V107))</f>
        <v>-862.89121562338346</v>
      </c>
      <c r="AA110" s="40"/>
      <c r="AB110" s="32"/>
      <c r="AC110" s="32">
        <f>AC105-25*SIN(RADIANS(Tool!$G$28-Tool!$G$22-90))</f>
        <v>11247.832777921136</v>
      </c>
      <c r="AD110" s="46">
        <f>AD105-25*COS(RADIANS(Tool!$G$28-Tool!$G$22-90))</f>
        <v>10235.37065767529</v>
      </c>
      <c r="AE110" s="32"/>
    </row>
    <row r="111" spans="22:31" x14ac:dyDescent="0.25">
      <c r="V111" s="6">
        <f>90-(V109*Tool!$W$14+V110+Tool!$W$15)</f>
        <v>-530</v>
      </c>
      <c r="W111" s="18">
        <f>$Q$37*COS(RADIANS(-$V111))</f>
        <v>-1.4750969436624541E-11</v>
      </c>
      <c r="X111" s="18">
        <f>$Q$37*SIN(RADIANS(-$V111))</f>
        <v>2.6009939032828541E-12</v>
      </c>
      <c r="Y111" s="6"/>
      <c r="Z111" s="6"/>
      <c r="AA111" s="40"/>
      <c r="AB111" s="32"/>
      <c r="AC111" s="32"/>
      <c r="AD111" s="32"/>
      <c r="AE111" s="32"/>
    </row>
    <row r="112" spans="22:31" x14ac:dyDescent="0.25">
      <c r="V112" s="6">
        <f>V108+1</f>
        <v>16</v>
      </c>
      <c r="W112" s="18">
        <f>$Q$38*COS(RADIANS(-$V111))</f>
        <v>-1.4750969436624541E-11</v>
      </c>
      <c r="X112" s="18">
        <f>$Q$38*SIN(RADIANS(-$V111))</f>
        <v>2.6009939032828541E-12</v>
      </c>
      <c r="Y112" s="18">
        <f>$Q$38*SIN(RADIANS(-$V111))</f>
        <v>2.6009939032828541E-12</v>
      </c>
      <c r="Z112" s="6"/>
      <c r="AA112" s="40"/>
      <c r="AB112" s="32"/>
      <c r="AC112" s="32">
        <f>AC107-25*SIN(RADIANS(Tool!$G$29-Tool!$G$22+90))</f>
        <v>-1793.0784008472415</v>
      </c>
      <c r="AD112" s="46">
        <f>AD107-25*COS(RADIANS(Tool!$G$29-Tool!$G$22+90))</f>
        <v>-14867.622792899921</v>
      </c>
      <c r="AE112" s="32"/>
    </row>
    <row r="113" spans="22:31" x14ac:dyDescent="0.25">
      <c r="V113" s="6">
        <f>MOD(V112,Tool!$W$13)</f>
        <v>1</v>
      </c>
      <c r="W113" s="18">
        <f ca="1">$Q$39*COS(RADIANS(-$V111))</f>
        <v>196.24701215069851</v>
      </c>
      <c r="X113" s="18"/>
      <c r="Y113" s="18">
        <f ca="1">$Q$39*SIN(RADIANS(-$V111))</f>
        <v>-34.603643125590139</v>
      </c>
      <c r="Z113" s="18">
        <f ca="1">$Q$39*SIN(RADIANS(-$V111))</f>
        <v>-34.603643125590139</v>
      </c>
      <c r="AA113" s="40"/>
      <c r="AB113" s="32"/>
      <c r="AC113" s="32">
        <f>AC108-25/SIN(RADIANS(-Tool!G29))*SIN(RADIANS(-Tool!$G$22))</f>
        <v>828.48463653716021</v>
      </c>
      <c r="AD113" s="46">
        <f>AD108-25/SIN(RADIANS(-Tool!G29))*COS(RADIANS(Tool!$G$22))</f>
        <v>-5.075083361845157E-14</v>
      </c>
      <c r="AE113" s="32"/>
    </row>
    <row r="114" spans="22:31" x14ac:dyDescent="0.25">
      <c r="V114" s="6">
        <f>(V112-V113)*360/Tool!$W$12/Tool!$W$13</f>
        <v>600</v>
      </c>
      <c r="W114" s="18">
        <f>$Q$40*COS(RADIANS(-$V111))</f>
        <v>981.24368573783204</v>
      </c>
      <c r="X114" s="18"/>
      <c r="Y114" s="6"/>
      <c r="Z114" s="18">
        <f>$Q$40*SIN(RADIANS(-$V111))</f>
        <v>-173.01973644539794</v>
      </c>
      <c r="AA114" s="40"/>
      <c r="AB114" s="32"/>
      <c r="AC114" s="32">
        <f>AC109-25/SIN(RADIANS(Tool!G28))*SIN(RADIANS(-Tool!$G$22))</f>
        <v>1047.8174593052015</v>
      </c>
      <c r="AD114" s="46">
        <f>AD109-25/SIN(RADIANS(Tool!G28))*COS(RADIANS(Tool!$G$22))</f>
        <v>-6.4186597064702248E-14</v>
      </c>
      <c r="AE114" s="32"/>
    </row>
    <row r="115" spans="22:31" x14ac:dyDescent="0.25">
      <c r="V115" s="6">
        <f>90-(V113*Tool!$W$14+V114+Tool!$W$15)</f>
        <v>-535</v>
      </c>
      <c r="W115" s="18">
        <f>$Q$37*COS(RADIANS(-$V115))</f>
        <v>-1.4921529100001498E-11</v>
      </c>
      <c r="X115" s="18">
        <f>$Q$37*SIN(RADIANS(-$V115))</f>
        <v>1.3054646387223187E-12</v>
      </c>
      <c r="Y115" s="6"/>
      <c r="Z115" s="6"/>
      <c r="AA115" s="40"/>
      <c r="AB115" s="32"/>
      <c r="AC115" s="32">
        <f>AC110-25*SIN(RADIANS(Tool!$G$28-Tool!$G$22-90))</f>
        <v>11265.510447450799</v>
      </c>
      <c r="AD115" s="46">
        <f>AD110-25*COS(RADIANS(Tool!$G$28-Tool!$G$22-90))</f>
        <v>10217.692988145627</v>
      </c>
      <c r="AE115" s="32"/>
    </row>
    <row r="116" spans="22:31" x14ac:dyDescent="0.25">
      <c r="V116" s="6">
        <f>V112+1</f>
        <v>17</v>
      </c>
      <c r="W116" s="18">
        <f>$Q$38*COS(RADIANS(-$V115))</f>
        <v>-1.4921529100001498E-11</v>
      </c>
      <c r="X116" s="18">
        <f>$Q$38*SIN(RADIANS(-$V115))</f>
        <v>1.3054646387223187E-12</v>
      </c>
      <c r="Y116" s="18">
        <f>$Q$38*SIN(RADIANS(-$V115))</f>
        <v>1.3054646387223187E-12</v>
      </c>
      <c r="Z116" s="6"/>
      <c r="AA116" s="40"/>
      <c r="AB116" s="32"/>
      <c r="AC116" s="32"/>
      <c r="AD116" s="46"/>
      <c r="AE116" s="32"/>
    </row>
    <row r="117" spans="22:31" x14ac:dyDescent="0.25">
      <c r="V117" s="6">
        <f>MOD(V116,Tool!$W$13)</f>
        <v>2</v>
      </c>
      <c r="W117" s="18">
        <f ca="1">$Q$39*COS(RADIANS(-$V115))</f>
        <v>198.51613923925794</v>
      </c>
      <c r="X117" s="18"/>
      <c r="Y117" s="18">
        <f ca="1">$Q$39*SIN(RADIANS(-$V115))</f>
        <v>-17.367911710368972</v>
      </c>
      <c r="Z117" s="18">
        <f ca="1">$Q$39*SIN(RADIANS(-$V115))</f>
        <v>-17.367911710368972</v>
      </c>
      <c r="AA117" s="40"/>
      <c r="AB117" s="32"/>
      <c r="AC117" s="32">
        <f>AC112-25*SIN(RADIANS(Tool!$G$29-Tool!$G$22+90))</f>
        <v>-1768.4582070219362</v>
      </c>
      <c r="AD117" s="46">
        <f>AD112-25*COS(RADIANS(Tool!$G$29-Tool!$G$22+90))</f>
        <v>-14871.963997341594</v>
      </c>
      <c r="AE117" s="32"/>
    </row>
    <row r="118" spans="22:31" x14ac:dyDescent="0.25">
      <c r="V118" s="6">
        <f>(V116-V117)*360/Tool!$W$12/Tool!$W$13</f>
        <v>600</v>
      </c>
      <c r="W118" s="18">
        <f>$Q$40*COS(RADIANS(-$V115))</f>
        <v>992.58942090793403</v>
      </c>
      <c r="X118" s="18"/>
      <c r="Y118" s="6"/>
      <c r="Z118" s="18">
        <f>$Q$40*SIN(RADIANS(-$V115))</f>
        <v>-86.840321865206263</v>
      </c>
      <c r="AA118" s="40"/>
      <c r="AB118" s="32"/>
      <c r="AC118" s="32">
        <f>AC113-25/SIN(RADIANS(-Tool!G29))*SIN(RADIANS(-Tool!$G$22))</f>
        <v>853.87030183430386</v>
      </c>
      <c r="AD118" s="46">
        <f>AD113-25/SIN(RADIANS(-Tool!G29))*COS(RADIANS(Tool!$G$22))</f>
        <v>-5.2305894049232715E-14</v>
      </c>
      <c r="AE118" s="32"/>
    </row>
    <row r="119" spans="22:31" x14ac:dyDescent="0.25">
      <c r="V119" s="6">
        <f>90-(V117*Tool!$W$14+V118+Tool!$W$15)</f>
        <v>-540</v>
      </c>
      <c r="W119" s="18">
        <f>$Q$37*COS(RADIANS(-$V119))</f>
        <v>-1.4978526917061833E-11</v>
      </c>
      <c r="X119" s="18">
        <f>$Q$37*SIN(RADIANS(-$V119))</f>
        <v>5.5052757327736444E-27</v>
      </c>
      <c r="Y119" s="6"/>
      <c r="Z119" s="6"/>
      <c r="AA119" s="40"/>
      <c r="AB119" s="32"/>
      <c r="AC119" s="32">
        <f>AC114-25/SIN(RADIANS(Tool!G28))*SIN(RADIANS(-Tool!$G$22))</f>
        <v>1083.1727983645289</v>
      </c>
      <c r="AD119" s="46">
        <f>AD114-25/SIN(RADIANS(Tool!G28))*COS(RADIANS(Tool!$G$22))</f>
        <v>-6.6352374015767516E-14</v>
      </c>
      <c r="AE119" s="32"/>
    </row>
    <row r="120" spans="22:31" x14ac:dyDescent="0.25">
      <c r="V120" s="6">
        <f>V116+1</f>
        <v>18</v>
      </c>
      <c r="W120" s="18">
        <f>$Q$38*COS(RADIANS(-$V119))</f>
        <v>-1.4978526917061833E-11</v>
      </c>
      <c r="X120" s="18">
        <f>$Q$38*SIN(RADIANS(-$V119))</f>
        <v>5.5052757327736444E-27</v>
      </c>
      <c r="Y120" s="18">
        <f>$Q$38*SIN(RADIANS(-$V119))</f>
        <v>5.5052757327736444E-27</v>
      </c>
      <c r="Z120" s="6"/>
      <c r="AA120" s="40"/>
      <c r="AB120" s="32"/>
      <c r="AC120" s="32">
        <f>AC115-25*SIN(RADIANS(Tool!$G$28-Tool!$G$22-90))</f>
        <v>11283.188116980462</v>
      </c>
      <c r="AD120" s="46">
        <f>AD115-25*COS(RADIANS(Tool!$G$28-Tool!$G$22-90))</f>
        <v>10200.015318615964</v>
      </c>
      <c r="AE120" s="32"/>
    </row>
    <row r="121" spans="22:31" x14ac:dyDescent="0.25">
      <c r="V121" s="6">
        <f>MOD(V120,Tool!$W$13)</f>
        <v>0</v>
      </c>
      <c r="W121" s="18">
        <f ca="1">$Q$39*COS(RADIANS(-$V119))</f>
        <v>199.27443864088443</v>
      </c>
      <c r="X121" s="18"/>
      <c r="Y121" s="18">
        <f ca="1">$Q$39*SIN(RADIANS(-$V119))</f>
        <v>-7.3242231181098641E-14</v>
      </c>
      <c r="Z121" s="18">
        <f ca="1">$Q$39*SIN(RADIANS(-$V119))</f>
        <v>-7.3242231181098641E-14</v>
      </c>
      <c r="AA121" s="40"/>
      <c r="AB121" s="32"/>
      <c r="AC121" s="32"/>
      <c r="AD121" s="46"/>
      <c r="AE121" s="32"/>
    </row>
    <row r="122" spans="22:31" x14ac:dyDescent="0.25">
      <c r="V122" s="6">
        <f>(V120-V121)*360/Tool!$W$12/Tool!$W$13</f>
        <v>720</v>
      </c>
      <c r="W122" s="18">
        <f>$Q$40*COS(RADIANS(-$V119))</f>
        <v>996.38095124304755</v>
      </c>
      <c r="X122" s="18"/>
      <c r="Y122" s="6"/>
      <c r="Z122" s="18">
        <f>$Q$40*SIN(RADIANS(-$V119))</f>
        <v>-3.6621437487474021E-13</v>
      </c>
      <c r="AA122" s="40"/>
      <c r="AB122" s="32"/>
      <c r="AC122" s="32">
        <f>AC117-25*SIN(RADIANS(Tool!$G$29-Tool!$G$22+90))</f>
        <v>-1743.838013196631</v>
      </c>
      <c r="AD122" s="46">
        <f>AD117-25*COS(RADIANS(Tool!$G$29-Tool!$G$22+90))</f>
        <v>-14876.305201783267</v>
      </c>
      <c r="AE122" s="32"/>
    </row>
    <row r="123" spans="22:31" x14ac:dyDescent="0.25">
      <c r="V123" s="6">
        <f>90-(V121*Tool!$W$14+V122+Tool!$W$15)</f>
        <v>-650</v>
      </c>
      <c r="W123" s="18">
        <f>$Q$37*COS(RADIANS(-$V123))</f>
        <v>5.1229579229808633E-12</v>
      </c>
      <c r="X123" s="18">
        <f>$Q$37*SIN(RADIANS(-$V123))</f>
        <v>-1.4075211214206111E-11</v>
      </c>
      <c r="Y123" s="6"/>
      <c r="Z123" s="6"/>
      <c r="AA123" s="40"/>
      <c r="AB123" s="32"/>
      <c r="AC123" s="32">
        <f>AC118-25/SIN(RADIANS(-Tool!G29))*SIN(RADIANS(-Tool!$G$22))</f>
        <v>879.25596713144751</v>
      </c>
      <c r="AD123" s="46">
        <f>AD118-25/SIN(RADIANS(-Tool!G29))*COS(RADIANS(Tool!$G$22))</f>
        <v>-5.3860954480013861E-14</v>
      </c>
      <c r="AE123" s="32"/>
    </row>
    <row r="124" spans="22:31" x14ac:dyDescent="0.25">
      <c r="V124" s="6">
        <f>V120+1</f>
        <v>19</v>
      </c>
      <c r="W124" s="18">
        <f>$Q$38*COS(RADIANS(-$V123))</f>
        <v>5.1229579229808633E-12</v>
      </c>
      <c r="X124" s="18">
        <f>$Q$38*SIN(RADIANS(-$V123))</f>
        <v>-1.4075211214206111E-11</v>
      </c>
      <c r="Y124" s="18">
        <f>$Q$38*SIN(RADIANS(-$V123))</f>
        <v>-1.4075211214206111E-11</v>
      </c>
      <c r="Z124" s="6"/>
      <c r="AA124" s="40"/>
      <c r="AB124" s="32"/>
      <c r="AC124" s="32">
        <f>AC119-25/SIN(RADIANS(Tool!G28))*SIN(RADIANS(-Tool!$G$22))</f>
        <v>1118.5281374238564</v>
      </c>
      <c r="AD124" s="46">
        <f>AD119-25/SIN(RADIANS(Tool!G28))*COS(RADIANS(Tool!$G$22))</f>
        <v>-6.8518150966832785E-14</v>
      </c>
      <c r="AE124" s="32"/>
    </row>
    <row r="125" spans="22:31" x14ac:dyDescent="0.25">
      <c r="V125" s="6">
        <f>MOD(V124,Tool!$W$13)</f>
        <v>1</v>
      </c>
      <c r="W125" s="18">
        <f ca="1">$Q$39*COS(RADIANS(-$V123))</f>
        <v>-68.155872065097313</v>
      </c>
      <c r="X125" s="18"/>
      <c r="Y125" s="18">
        <f ca="1">$Q$39*SIN(RADIANS(-$V123))</f>
        <v>187.25671950209343</v>
      </c>
      <c r="Z125" s="18">
        <f ca="1">$Q$39*SIN(RADIANS(-$V123))</f>
        <v>187.25671950209343</v>
      </c>
      <c r="AA125" s="40"/>
      <c r="AB125" s="32"/>
      <c r="AC125" s="32">
        <f>AC120-25*SIN(RADIANS(Tool!$G$28-Tool!$G$22-90))</f>
        <v>11300.865786510125</v>
      </c>
      <c r="AD125" s="46">
        <f>AD120-25*COS(RADIANS(Tool!$G$28-Tool!$G$22-90))</f>
        <v>10182.337649086301</v>
      </c>
      <c r="AE125" s="32"/>
    </row>
    <row r="126" spans="22:31" x14ac:dyDescent="0.25">
      <c r="V126" s="6">
        <f>(V124-V125)*360/Tool!$W$12/Tool!$W$13</f>
        <v>720</v>
      </c>
      <c r="W126" s="18">
        <f>$Q$40*COS(RADIANS(-$V123))</f>
        <v>-340.7823557511125</v>
      </c>
      <c r="X126" s="18"/>
      <c r="Y126" s="6"/>
      <c r="Z126" s="18">
        <f>$Q$40*SIN(RADIANS(-$V123))</f>
        <v>936.29182737473604</v>
      </c>
      <c r="AA126" s="40"/>
      <c r="AB126" s="32"/>
      <c r="AC126" s="32"/>
      <c r="AD126" s="46"/>
      <c r="AE126" s="32"/>
    </row>
    <row r="127" spans="22:31" x14ac:dyDescent="0.25">
      <c r="V127" s="6">
        <f>90-(V125*Tool!$W$14+V126+Tool!$W$15)</f>
        <v>-655</v>
      </c>
      <c r="W127" s="18">
        <f>$Q$37*COS(RADIANS(-$V127))</f>
        <v>6.3301990091249372E-12</v>
      </c>
      <c r="X127" s="18">
        <f>$Q$37*SIN(RADIANS(-$V127))</f>
        <v>-1.3575155583271211E-11</v>
      </c>
      <c r="Y127" s="6"/>
      <c r="Z127" s="6"/>
      <c r="AA127" s="40"/>
      <c r="AB127" s="32"/>
      <c r="AC127" s="32">
        <f>AC122-25*SIN(RADIANS(Tool!$G$29-Tool!$G$22+90))</f>
        <v>-1719.2178193713257</v>
      </c>
      <c r="AD127" s="46">
        <f>AD122-25*COS(RADIANS(Tool!$G$29-Tool!$G$22+90))</f>
        <v>-14880.64640622494</v>
      </c>
      <c r="AE127" s="32"/>
    </row>
    <row r="128" spans="22:31" x14ac:dyDescent="0.25">
      <c r="V128" s="6">
        <f>V124+1</f>
        <v>20</v>
      </c>
      <c r="W128" s="18">
        <f>$Q$38*COS(RADIANS(-$V127))</f>
        <v>6.3301990091249372E-12</v>
      </c>
      <c r="X128" s="18">
        <f>$Q$38*SIN(RADIANS(-$V127))</f>
        <v>-1.3575155583271211E-11</v>
      </c>
      <c r="Y128" s="18">
        <f>$Q$38*SIN(RADIANS(-$V127))</f>
        <v>-1.3575155583271211E-11</v>
      </c>
      <c r="Z128" s="6"/>
      <c r="AA128" s="40"/>
      <c r="AB128" s="32"/>
      <c r="AC128" s="32">
        <f>AC123-25/SIN(RADIANS(-Tool!G29))*SIN(RADIANS(-Tool!$G$22))</f>
        <v>904.64163242859115</v>
      </c>
      <c r="AD128" s="46">
        <f>AD123-25/SIN(RADIANS(-Tool!G29))*COS(RADIANS(Tool!$G$22))</f>
        <v>-5.5416014910795006E-14</v>
      </c>
      <c r="AE128" s="32"/>
    </row>
    <row r="129" spans="22:31" x14ac:dyDescent="0.25">
      <c r="V129" s="6">
        <f>MOD(V128,Tool!$W$13)</f>
        <v>2</v>
      </c>
      <c r="W129" s="18">
        <f ca="1">$Q$39*COS(RADIANS(-$V127))</f>
        <v>-84.217016867764073</v>
      </c>
      <c r="X129" s="18"/>
      <c r="Y129" s="18">
        <f ca="1">$Q$39*SIN(RADIANS(-$V127))</f>
        <v>180.60397549759074</v>
      </c>
      <c r="Z129" s="18">
        <f ca="1">$Q$39*SIN(RADIANS(-$V127))</f>
        <v>180.60397549759074</v>
      </c>
      <c r="AA129" s="40"/>
      <c r="AB129" s="32"/>
      <c r="AC129" s="32">
        <f>AC124-25/SIN(RADIANS(Tool!G28))*SIN(RADIANS(-Tool!$G$22))</f>
        <v>1153.8834764831838</v>
      </c>
      <c r="AD129" s="46">
        <f>AD124-25/SIN(RADIANS(Tool!G28))*COS(RADIANS(Tool!$G$22))</f>
        <v>-7.0683927917898053E-14</v>
      </c>
      <c r="AE129" s="32"/>
    </row>
    <row r="130" spans="22:31" x14ac:dyDescent="0.25">
      <c r="V130" s="6">
        <f>(V128-V129)*360/Tool!$W$12/Tool!$W$13</f>
        <v>720</v>
      </c>
      <c r="W130" s="18">
        <f>$Q$40*COS(RADIANS(-$V127))</f>
        <v>-421.08878564588053</v>
      </c>
      <c r="X130" s="18"/>
      <c r="Y130" s="6"/>
      <c r="Z130" s="18">
        <f>$Q$40*SIN(RADIANS(-$V127))</f>
        <v>903.02781496655905</v>
      </c>
      <c r="AA130" s="40"/>
      <c r="AB130" s="32"/>
      <c r="AC130" s="32">
        <f>AC125-25*SIN(RADIANS(Tool!$G$28-Tool!$G$22-90))</f>
        <v>11318.543456039788</v>
      </c>
      <c r="AD130" s="46">
        <f>AD125-25*COS(RADIANS(Tool!$G$28-Tool!$G$22-90))</f>
        <v>10164.659979556638</v>
      </c>
      <c r="AE130" s="32"/>
    </row>
    <row r="131" spans="22:31" x14ac:dyDescent="0.25">
      <c r="V131" s="6">
        <f>90-(V129*Tool!$W$14+V130+Tool!$W$15)</f>
        <v>-660</v>
      </c>
      <c r="W131" s="18">
        <f>$Q$37*COS(RADIANS(-$V131))</f>
        <v>7.4892634585309038E-12</v>
      </c>
      <c r="X131" s="18">
        <f>$Q$37*SIN(RADIANS(-$V131))</f>
        <v>-1.2971784821444565E-11</v>
      </c>
      <c r="Y131" s="6"/>
      <c r="Z131" s="6"/>
      <c r="AA131" s="40"/>
      <c r="AB131" s="32"/>
      <c r="AC131" s="32"/>
      <c r="AD131" s="46"/>
      <c r="AE131" s="32"/>
    </row>
    <row r="132" spans="22:31" x14ac:dyDescent="0.25">
      <c r="V132" s="6">
        <f>V128+1</f>
        <v>21</v>
      </c>
      <c r="W132" s="18">
        <f>$Q$38*COS(RADIANS(-$V131))</f>
        <v>7.4892634585309038E-12</v>
      </c>
      <c r="X132" s="18">
        <f>$Q$38*SIN(RADIANS(-$V131))</f>
        <v>-1.2971784821444565E-11</v>
      </c>
      <c r="Y132" s="18">
        <f>$Q$38*SIN(RADIANS(-$V131))</f>
        <v>-1.2971784821444565E-11</v>
      </c>
      <c r="Z132" s="6"/>
      <c r="AA132" s="40"/>
      <c r="AB132" s="32"/>
      <c r="AC132" s="32">
        <f>AC127-25*SIN(RADIANS(Tool!$G$29-Tool!$G$22+90))</f>
        <v>-1694.5976255460205</v>
      </c>
      <c r="AD132" s="46">
        <f>AD127-25*COS(RADIANS(Tool!$G$29-Tool!$G$22+90))</f>
        <v>-14884.987610666612</v>
      </c>
      <c r="AE132" s="32"/>
    </row>
    <row r="133" spans="22:31" x14ac:dyDescent="0.25">
      <c r="V133" s="6">
        <f>MOD(V132,Tool!$W$13)</f>
        <v>0</v>
      </c>
      <c r="W133" s="18">
        <f ca="1">$Q$39*COS(RADIANS(-$V131))</f>
        <v>-99.637219320442043</v>
      </c>
      <c r="X133" s="18"/>
      <c r="Y133" s="18">
        <f ca="1">$Q$39*SIN(RADIANS(-$V131))</f>
        <v>172.57672618788939</v>
      </c>
      <c r="Z133" s="18">
        <f ca="1">$Q$39*SIN(RADIANS(-$V131))</f>
        <v>172.57672618788939</v>
      </c>
      <c r="AA133" s="40"/>
      <c r="AB133" s="32"/>
      <c r="AC133" s="32">
        <f>AC128-25/SIN(RADIANS(-Tool!G29))*SIN(RADIANS(-Tool!$G$22))</f>
        <v>930.0272977257348</v>
      </c>
      <c r="AD133" s="46">
        <f>AD128-25/SIN(RADIANS(-Tool!G29))*COS(RADIANS(Tool!$G$22))</f>
        <v>-5.6971075341576152E-14</v>
      </c>
      <c r="AE133" s="32"/>
    </row>
    <row r="134" spans="22:31" x14ac:dyDescent="0.25">
      <c r="V134" s="6">
        <f>(V132-V133)*360/Tool!$W$12/Tool!$W$13</f>
        <v>840</v>
      </c>
      <c r="W134" s="18">
        <f>$Q$40*COS(RADIANS(-$V131))</f>
        <v>-498.19047562152286</v>
      </c>
      <c r="X134" s="18"/>
      <c r="Y134" s="6"/>
      <c r="Z134" s="18">
        <f>$Q$40*SIN(RADIANS(-$V131))</f>
        <v>862.8912156233838</v>
      </c>
      <c r="AA134" s="40"/>
      <c r="AB134" s="32"/>
      <c r="AC134" s="32">
        <f>AC129-25/SIN(RADIANS(Tool!G28))*SIN(RADIANS(-Tool!$G$22))</f>
        <v>1189.2388155425112</v>
      </c>
      <c r="AD134" s="46">
        <f>AD129-25/SIN(RADIANS(Tool!G28))*COS(RADIANS(Tool!$G$22))</f>
        <v>-7.2849704868963321E-14</v>
      </c>
      <c r="AE134" s="32"/>
    </row>
    <row r="135" spans="22:31" x14ac:dyDescent="0.25">
      <c r="V135" s="6">
        <f>90-(V133*Tool!$W$14+V134+Tool!$W$15)</f>
        <v>-770</v>
      </c>
      <c r="W135" s="18">
        <f>$Q$37*COS(RADIANS(-$V135))</f>
        <v>9.6280115136436616E-12</v>
      </c>
      <c r="X135" s="18">
        <f>$Q$37*SIN(RADIANS(-$V135))</f>
        <v>1.1474217310923258E-11</v>
      </c>
      <c r="Y135" s="6"/>
      <c r="Z135" s="6"/>
      <c r="AA135" s="40"/>
      <c r="AB135" s="32"/>
      <c r="AC135" s="32">
        <f>AC130-25*SIN(RADIANS(Tool!$G$28-Tool!$G$22-90))</f>
        <v>11336.221125569451</v>
      </c>
      <c r="AD135" s="46">
        <f>AD130-25*COS(RADIANS(Tool!$G$28-Tool!$G$22-90))</f>
        <v>10146.982310026975</v>
      </c>
      <c r="AE135" s="32"/>
    </row>
    <row r="136" spans="22:31" x14ac:dyDescent="0.25">
      <c r="V136" s="6">
        <f>V132+1</f>
        <v>22</v>
      </c>
      <c r="W136" s="18">
        <f>$Q$38*COS(RADIANS(-$V135))</f>
        <v>9.6280115136436616E-12</v>
      </c>
      <c r="X136" s="18">
        <f>$Q$38*SIN(RADIANS(-$V135))</f>
        <v>1.1474217310923258E-11</v>
      </c>
      <c r="Y136" s="18">
        <f>$Q$38*SIN(RADIANS(-$V135))</f>
        <v>1.1474217310923258E-11</v>
      </c>
      <c r="Z136" s="6"/>
      <c r="AA136" s="40"/>
      <c r="AB136" s="32"/>
      <c r="AC136" s="32"/>
      <c r="AD136" s="32"/>
      <c r="AE136" s="32"/>
    </row>
    <row r="137" spans="22:31" x14ac:dyDescent="0.25">
      <c r="V137" s="6">
        <f>MOD(V136,Tool!$W$13)</f>
        <v>1</v>
      </c>
      <c r="W137" s="18">
        <f ca="1">$Q$39*COS(RADIANS(-$V135))</f>
        <v>-128.09114008560101</v>
      </c>
      <c r="X137" s="18"/>
      <c r="Y137" s="18">
        <f ca="1">$Q$39*SIN(RADIANS(-$V135))</f>
        <v>-152.65307637650332</v>
      </c>
      <c r="Z137" s="18">
        <f ca="1">$Q$39*SIN(RADIANS(-$V135))</f>
        <v>-152.65307637650332</v>
      </c>
      <c r="AA137" s="40"/>
      <c r="AB137" s="32"/>
      <c r="AC137" s="32">
        <f>AC132-25*SIN(RADIANS(Tool!$G$29-Tool!$G$22+90))</f>
        <v>-1669.9774317207152</v>
      </c>
      <c r="AD137" s="46">
        <f>AD132-25*COS(RADIANS(Tool!$G$29-Tool!$G$22+90))</f>
        <v>-14889.328815108285</v>
      </c>
      <c r="AE137" s="32"/>
    </row>
    <row r="138" spans="22:31" x14ac:dyDescent="0.25">
      <c r="V138" s="6">
        <f>(V136-V137)*360/Tool!$W$12/Tool!$W$13</f>
        <v>840</v>
      </c>
      <c r="W138" s="18">
        <f>$Q$40*COS(RADIANS(-$V135))</f>
        <v>-640.46132998671862</v>
      </c>
      <c r="X138" s="18"/>
      <c r="Y138" s="6"/>
      <c r="Z138" s="18">
        <f>$Q$40*SIN(RADIANS(-$V135))</f>
        <v>-763.27209092933822</v>
      </c>
      <c r="AA138" s="40"/>
      <c r="AB138" s="32"/>
      <c r="AC138" s="32">
        <f>AC133-25/SIN(RADIANS(-Tool!G29))*SIN(RADIANS(-Tool!$G$22))</f>
        <v>955.41296302287844</v>
      </c>
      <c r="AD138" s="46">
        <f>AD133-25/SIN(RADIANS(-Tool!G29))*COS(RADIANS(Tool!$G$22))</f>
        <v>-5.8526135772357291E-14</v>
      </c>
      <c r="AE138" s="32"/>
    </row>
    <row r="139" spans="22:31" x14ac:dyDescent="0.25">
      <c r="V139" s="6">
        <f>90-(V137*Tool!$W$14+V138+Tool!$W$15)</f>
        <v>-775</v>
      </c>
      <c r="W139" s="18">
        <f>$Q$37*COS(RADIANS(-$V139))</f>
        <v>8.5913300908765452E-12</v>
      </c>
      <c r="X139" s="18">
        <f>$Q$37*SIN(RADIANS(-$V139))</f>
        <v>1.2269690944548892E-11</v>
      </c>
      <c r="Y139" s="6"/>
      <c r="Z139" s="6"/>
      <c r="AA139" s="40"/>
      <c r="AB139" s="32"/>
      <c r="AC139" s="32">
        <f>AC134-25/SIN(RADIANS(Tool!G28))*SIN(RADIANS(-Tool!$G$22))</f>
        <v>1224.5941546018387</v>
      </c>
      <c r="AD139" s="46">
        <f>AD134-25/SIN(RADIANS(Tool!G28))*COS(RADIANS(Tool!$G$22))</f>
        <v>-7.5015481820028589E-14</v>
      </c>
      <c r="AE139" s="32"/>
    </row>
    <row r="140" spans="22:31" x14ac:dyDescent="0.25">
      <c r="V140" s="6">
        <f>V136+1</f>
        <v>23</v>
      </c>
      <c r="W140" s="18">
        <f>$Q$38*COS(RADIANS(-$V139))</f>
        <v>8.5913300908765452E-12</v>
      </c>
      <c r="X140" s="18">
        <f>$Q$38*SIN(RADIANS(-$V139))</f>
        <v>1.2269690944548892E-11</v>
      </c>
      <c r="Y140" s="18">
        <f>$Q$38*SIN(RADIANS(-$V139))</f>
        <v>1.2269690944548892E-11</v>
      </c>
      <c r="Z140" s="6"/>
      <c r="AA140" s="40"/>
      <c r="AB140" s="32"/>
      <c r="AC140" s="32">
        <f>AC135-25*SIN(RADIANS(Tool!$G$28-Tool!$G$22-90))</f>
        <v>11353.898795099114</v>
      </c>
      <c r="AD140" s="46">
        <f>AD135-25*COS(RADIANS(Tool!$G$28-Tool!$G$22-90))</f>
        <v>10129.304640497312</v>
      </c>
      <c r="AE140" s="32"/>
    </row>
    <row r="141" spans="22:31" x14ac:dyDescent="0.25">
      <c r="V141" s="6">
        <f>MOD(V140,Tool!$W$13)</f>
        <v>2</v>
      </c>
      <c r="W141" s="18">
        <f ca="1">$Q$39*COS(RADIANS(-$V139))</f>
        <v>-114.29912237149365</v>
      </c>
      <c r="X141" s="18"/>
      <c r="Y141" s="18">
        <f ca="1">$Q$39*SIN(RADIANS(-$V139))</f>
        <v>-163.23606378722175</v>
      </c>
      <c r="Z141" s="18">
        <f ca="1">$Q$39*SIN(RADIANS(-$V139))</f>
        <v>-163.23606378722175</v>
      </c>
      <c r="AA141" s="40"/>
      <c r="AB141" s="32"/>
      <c r="AC141" s="32"/>
      <c r="AD141" s="46"/>
      <c r="AE141" s="32"/>
    </row>
    <row r="142" spans="22:31" x14ac:dyDescent="0.25">
      <c r="V142" s="6">
        <f>(V140-V141)*360/Tool!$W$12/Tool!$W$13</f>
        <v>840</v>
      </c>
      <c r="W142" s="18">
        <f>$Q$40*COS(RADIANS(-$V139))</f>
        <v>-571.50063526205247</v>
      </c>
      <c r="X142" s="18"/>
      <c r="Y142" s="6"/>
      <c r="Z142" s="18">
        <f>$Q$40*SIN(RADIANS(-$V139))</f>
        <v>-816.18749310135274</v>
      </c>
      <c r="AA142" s="40"/>
      <c r="AB142" s="32"/>
      <c r="AC142" s="32">
        <f>AC137-25*SIN(RADIANS(Tool!$G$29-Tool!$G$22+90))</f>
        <v>-1645.35723789541</v>
      </c>
      <c r="AD142" s="46">
        <f>AD137-25*COS(RADIANS(Tool!$G$29-Tool!$G$22+90))</f>
        <v>-14893.670019549958</v>
      </c>
      <c r="AE142" s="32"/>
    </row>
    <row r="143" spans="22:31" x14ac:dyDescent="0.25">
      <c r="V143" s="6">
        <f>90-(V141*Tool!$W$14+V142+Tool!$W$15)</f>
        <v>-780</v>
      </c>
      <c r="W143" s="18">
        <f>$Q$37*COS(RADIANS(-$V143))</f>
        <v>7.4892634585309151E-12</v>
      </c>
      <c r="X143" s="18">
        <f>$Q$37*SIN(RADIANS(-$V143))</f>
        <v>1.2971784821444558E-11</v>
      </c>
      <c r="Y143" s="6"/>
      <c r="Z143" s="6"/>
      <c r="AA143" s="40"/>
      <c r="AB143" s="32"/>
      <c r="AC143" s="32">
        <f>AC138-25/SIN(RADIANS(-Tool!G29))*SIN(RADIANS(-Tool!$G$22))</f>
        <v>980.79862832002209</v>
      </c>
      <c r="AD143" s="46">
        <f>AD138-25/SIN(RADIANS(-Tool!G29))*COS(RADIANS(Tool!$G$22))</f>
        <v>-6.008119620313843E-14</v>
      </c>
      <c r="AE143" s="32"/>
    </row>
    <row r="144" spans="22:31" x14ac:dyDescent="0.25">
      <c r="V144" s="6">
        <f>V140+1</f>
        <v>24</v>
      </c>
      <c r="W144" s="18">
        <f>$Q$38*COS(RADIANS(-$V143))</f>
        <v>7.4892634585309151E-12</v>
      </c>
      <c r="X144" s="18">
        <f>$Q$38*SIN(RADIANS(-$V143))</f>
        <v>1.2971784821444558E-11</v>
      </c>
      <c r="Y144" s="18">
        <f>$Q$38*SIN(RADIANS(-$V143))</f>
        <v>1.2971784821444558E-11</v>
      </c>
      <c r="Z144" s="6"/>
      <c r="AA144" s="40"/>
      <c r="AB144" s="32"/>
      <c r="AC144" s="32">
        <f>AC139-25/SIN(RADIANS(Tool!G28))*SIN(RADIANS(-Tool!$G$22))</f>
        <v>1259.9494936611661</v>
      </c>
      <c r="AD144" s="46">
        <f>AD139-25/SIN(RADIANS(Tool!G28))*COS(RADIANS(Tool!$G$22))</f>
        <v>-7.7181258771093858E-14</v>
      </c>
      <c r="AE144" s="32"/>
    </row>
    <row r="145" spans="22:31" x14ac:dyDescent="0.25">
      <c r="V145" s="6">
        <f>MOD(V144,Tool!$W$13)</f>
        <v>0</v>
      </c>
      <c r="W145" s="18">
        <f ca="1">$Q$39*COS(RADIANS(-$V143))</f>
        <v>-99.637219320442199</v>
      </c>
      <c r="X145" s="18"/>
      <c r="Y145" s="18">
        <f ca="1">$Q$39*SIN(RADIANS(-$V143))</f>
        <v>-172.57672618788928</v>
      </c>
      <c r="Z145" s="18">
        <f ca="1">$Q$39*SIN(RADIANS(-$V143))</f>
        <v>-172.57672618788928</v>
      </c>
      <c r="AA145" s="40"/>
      <c r="AB145" s="32"/>
      <c r="AC145" s="32">
        <f>AC140-25*SIN(RADIANS(Tool!$G$28-Tool!$G$22-90))</f>
        <v>11371.576464628777</v>
      </c>
      <c r="AD145" s="46">
        <f>AD140-25*COS(RADIANS(Tool!$G$28-Tool!$G$22-90))</f>
        <v>10111.626970967649</v>
      </c>
      <c r="AE145" s="32"/>
    </row>
    <row r="146" spans="22:31" x14ac:dyDescent="0.25">
      <c r="V146" s="6">
        <f>(V144-V145)*360/Tool!$W$12/Tool!$W$13</f>
        <v>960</v>
      </c>
      <c r="W146" s="18">
        <f>$Q$40*COS(RADIANS(-$V143))</f>
        <v>-498.19047562152372</v>
      </c>
      <c r="X146" s="18"/>
      <c r="Y146" s="6"/>
      <c r="Z146" s="18">
        <f>$Q$40*SIN(RADIANS(-$V143))</f>
        <v>-862.89121562338335</v>
      </c>
      <c r="AA146" s="40"/>
      <c r="AB146" s="32"/>
      <c r="AC146" s="32"/>
      <c r="AD146" s="46"/>
      <c r="AE146" s="32"/>
    </row>
    <row r="147" spans="22:31" x14ac:dyDescent="0.25">
      <c r="V147" s="6">
        <f>90-(V145*Tool!$W$14+V146+Tool!$W$15)</f>
        <v>-890</v>
      </c>
      <c r="W147" s="18">
        <f>$Q$37*COS(RADIANS(-$V147))</f>
        <v>-1.4750969436624541E-11</v>
      </c>
      <c r="X147" s="18">
        <f>$Q$37*SIN(RADIANS(-$V147))</f>
        <v>2.6009939032828577E-12</v>
      </c>
      <c r="Y147" s="6"/>
      <c r="Z147" s="6"/>
      <c r="AA147" s="40"/>
      <c r="AB147" s="32"/>
      <c r="AC147" s="32">
        <f>AC142-25*SIN(RADIANS(Tool!$G$29-Tool!$G$22+90))</f>
        <v>-1620.7370440701047</v>
      </c>
      <c r="AD147" s="46">
        <f>AD142-25*COS(RADIANS(Tool!$G$29-Tool!$G$22+90))</f>
        <v>-14898.011223991631</v>
      </c>
      <c r="AE147" s="32"/>
    </row>
    <row r="148" spans="22:31" x14ac:dyDescent="0.25">
      <c r="V148" s="6">
        <f>V144+1</f>
        <v>25</v>
      </c>
      <c r="W148" s="18">
        <f>$Q$38*COS(RADIANS(-$V147))</f>
        <v>-1.4750969436624541E-11</v>
      </c>
      <c r="X148" s="18">
        <f>$Q$38*SIN(RADIANS(-$V147))</f>
        <v>2.6009939032828577E-12</v>
      </c>
      <c r="Y148" s="18">
        <f>$Q$38*SIN(RADIANS(-$V147))</f>
        <v>2.6009939032828577E-12</v>
      </c>
      <c r="Z148" s="6"/>
      <c r="AA148" s="40"/>
      <c r="AB148" s="32"/>
      <c r="AC148" s="32">
        <f>AC143-25/SIN(RADIANS(-Tool!G29))*SIN(RADIANS(-Tool!$G$22))</f>
        <v>1006.1842936171657</v>
      </c>
      <c r="AD148" s="46">
        <f>AD143-25/SIN(RADIANS(-Tool!G29))*COS(RADIANS(Tool!$G$22))</f>
        <v>-6.1636256633919569E-14</v>
      </c>
      <c r="AE148" s="32"/>
    </row>
    <row r="149" spans="22:31" x14ac:dyDescent="0.25">
      <c r="V149" s="6">
        <f>MOD(V148,Tool!$W$13)</f>
        <v>1</v>
      </c>
      <c r="W149" s="18">
        <f ca="1">$Q$39*COS(RADIANS(-$V147))</f>
        <v>196.24701215069851</v>
      </c>
      <c r="X149" s="18"/>
      <c r="Y149" s="18">
        <f ca="1">$Q$39*SIN(RADIANS(-$V147))</f>
        <v>-34.603643125590189</v>
      </c>
      <c r="Z149" s="18">
        <f ca="1">$Q$39*SIN(RADIANS(-$V147))</f>
        <v>-34.603643125590189</v>
      </c>
      <c r="AA149" s="40"/>
      <c r="AB149" s="32"/>
      <c r="AC149" s="32">
        <f>AC144-25/SIN(RADIANS(Tool!G28))*SIN(RADIANS(-Tool!$G$22))</f>
        <v>1295.3048327204936</v>
      </c>
      <c r="AD149" s="46">
        <f>AD144-25/SIN(RADIANS(Tool!G28))*COS(RADIANS(Tool!$G$22))</f>
        <v>-7.9347035722159126E-14</v>
      </c>
      <c r="AE149" s="32"/>
    </row>
    <row r="150" spans="22:31" x14ac:dyDescent="0.25">
      <c r="V150" s="6">
        <f>(V148-V149)*360/Tool!$W$12/Tool!$W$13</f>
        <v>960</v>
      </c>
      <c r="W150" s="18">
        <f>$Q$40*COS(RADIANS(-$V147))</f>
        <v>981.24368573783204</v>
      </c>
      <c r="X150" s="18"/>
      <c r="Y150" s="6"/>
      <c r="Z150" s="18">
        <f>$Q$40*SIN(RADIANS(-$V147))</f>
        <v>-173.01973644539819</v>
      </c>
      <c r="AA150" s="40"/>
      <c r="AB150" s="32"/>
      <c r="AC150" s="32">
        <f>AC145-25*SIN(RADIANS(Tool!$G$28-Tool!$G$22-90))</f>
        <v>11389.25413415844</v>
      </c>
      <c r="AD150" s="46">
        <f>AD145-25*COS(RADIANS(Tool!$G$28-Tool!$G$22-90))</f>
        <v>10093.949301437986</v>
      </c>
      <c r="AE150" s="32"/>
    </row>
    <row r="151" spans="22:31" x14ac:dyDescent="0.25">
      <c r="V151" s="6">
        <f>90-(V149*Tool!$W$14+V150+Tool!$W$15)</f>
        <v>-895</v>
      </c>
      <c r="W151" s="18">
        <f>$Q$37*COS(RADIANS(-$V151))</f>
        <v>-1.4921529100001495E-11</v>
      </c>
      <c r="X151" s="18">
        <f>$Q$37*SIN(RADIANS(-$V151))</f>
        <v>1.3054646387223221E-12</v>
      </c>
      <c r="Y151" s="6"/>
      <c r="Z151" s="6"/>
      <c r="AA151" s="40"/>
      <c r="AB151" s="32"/>
      <c r="AC151" s="32"/>
      <c r="AD151" s="46"/>
      <c r="AE151" s="32"/>
    </row>
    <row r="152" spans="22:31" x14ac:dyDescent="0.25">
      <c r="V152" s="6">
        <f>V148+1</f>
        <v>26</v>
      </c>
      <c r="W152" s="18">
        <f>$Q$38*COS(RADIANS(-$V151))</f>
        <v>-1.4921529100001495E-11</v>
      </c>
      <c r="X152" s="18">
        <f>$Q$38*SIN(RADIANS(-$V151))</f>
        <v>1.3054646387223221E-12</v>
      </c>
      <c r="Y152" s="18">
        <f>$Q$38*SIN(RADIANS(-$V151))</f>
        <v>1.3054646387223221E-12</v>
      </c>
      <c r="Z152" s="6"/>
      <c r="AA152" s="40"/>
      <c r="AB152" s="32"/>
      <c r="AC152" s="32">
        <f>AC147-25*SIN(RADIANS(Tool!$G$29-Tool!$G$22+90))</f>
        <v>-1596.1168502447995</v>
      </c>
      <c r="AD152" s="46">
        <f>AD147-25*COS(RADIANS(Tool!$G$29-Tool!$G$22+90))</f>
        <v>-14902.352428433303</v>
      </c>
      <c r="AE152" s="32"/>
    </row>
    <row r="153" spans="22:31" x14ac:dyDescent="0.25">
      <c r="V153" s="6">
        <f>MOD(V152,Tool!$W$13)</f>
        <v>2</v>
      </c>
      <c r="W153" s="18">
        <f ca="1">$Q$39*COS(RADIANS(-$V151))</f>
        <v>198.51613923925791</v>
      </c>
      <c r="X153" s="18"/>
      <c r="Y153" s="18">
        <f ca="1">$Q$39*SIN(RADIANS(-$V151))</f>
        <v>-17.367911710369018</v>
      </c>
      <c r="Z153" s="18">
        <f ca="1">$Q$39*SIN(RADIANS(-$V151))</f>
        <v>-17.367911710369018</v>
      </c>
      <c r="AA153" s="40"/>
      <c r="AB153" s="32"/>
      <c r="AC153" s="32">
        <f>AC148-25/SIN(RADIANS(-Tool!G29))*SIN(RADIANS(-Tool!$G$22))</f>
        <v>1031.5699589143094</v>
      </c>
      <c r="AD153" s="46">
        <f>AD148-25/SIN(RADIANS(-Tool!G29))*COS(RADIANS(Tool!$G$22))</f>
        <v>-6.3191317064700708E-14</v>
      </c>
      <c r="AE153" s="32"/>
    </row>
    <row r="154" spans="22:31" x14ac:dyDescent="0.25">
      <c r="V154" s="6">
        <f>(V152-V153)*360/Tool!$W$12/Tool!$W$13</f>
        <v>960</v>
      </c>
      <c r="W154" s="18">
        <f>$Q$40*COS(RADIANS(-$V151))</f>
        <v>992.58942090793391</v>
      </c>
      <c r="X154" s="18"/>
      <c r="Y154" s="6"/>
      <c r="Z154" s="18">
        <f>$Q$40*SIN(RADIANS(-$V151))</f>
        <v>-86.840321865206491</v>
      </c>
      <c r="AA154" s="40"/>
      <c r="AB154" s="32"/>
      <c r="AC154" s="32">
        <f>AC149-25/SIN(RADIANS(Tool!G28))*SIN(RADIANS(-Tool!$G$22))</f>
        <v>1330.660171779821</v>
      </c>
      <c r="AD154" s="46">
        <f>AD149-25/SIN(RADIANS(Tool!G28))*COS(RADIANS(Tool!$G$22))</f>
        <v>-8.1512812673224394E-14</v>
      </c>
      <c r="AE154" s="32"/>
    </row>
    <row r="155" spans="22:31" x14ac:dyDescent="0.25">
      <c r="V155" s="6">
        <f>90-(V153*Tool!$W$14+V154+Tool!$W$15)</f>
        <v>-900</v>
      </c>
      <c r="W155" s="18">
        <f>$Q$37*COS(RADIANS(-$V155))</f>
        <v>-1.4978526917061833E-11</v>
      </c>
      <c r="X155" s="18">
        <f>$Q$37*SIN(RADIANS(-$V155))</f>
        <v>9.1754595546227397E-27</v>
      </c>
      <c r="Y155" s="6"/>
      <c r="Z155" s="6"/>
      <c r="AA155" s="40"/>
      <c r="AB155" s="32"/>
      <c r="AC155" s="32">
        <f>AC150-25*SIN(RADIANS(Tool!$G$28-Tool!$G$22-90))</f>
        <v>11406.931803688103</v>
      </c>
      <c r="AD155" s="46">
        <f>AD150-25*COS(RADIANS(Tool!$G$28-Tool!$G$22-90))</f>
        <v>10076.271631908323</v>
      </c>
      <c r="AE155" s="32"/>
    </row>
    <row r="156" spans="22:31" x14ac:dyDescent="0.25">
      <c r="V156" s="6">
        <f>V152+1</f>
        <v>27</v>
      </c>
      <c r="W156" s="18">
        <f>$Q$38*COS(RADIANS(-$V155))</f>
        <v>-1.4978526917061833E-11</v>
      </c>
      <c r="X156" s="18">
        <f>$Q$38*SIN(RADIANS(-$V155))</f>
        <v>9.1754595546227397E-27</v>
      </c>
      <c r="Y156" s="18">
        <f>$Q$38*SIN(RADIANS(-$V155))</f>
        <v>9.1754595546227397E-27</v>
      </c>
      <c r="Z156" s="6"/>
      <c r="AA156" s="40"/>
      <c r="AB156" s="32"/>
      <c r="AC156" s="32"/>
      <c r="AD156" s="46"/>
      <c r="AE156" s="32"/>
    </row>
    <row r="157" spans="22:31" x14ac:dyDescent="0.25">
      <c r="V157" s="6">
        <f>MOD(V156,Tool!$W$13)</f>
        <v>0</v>
      </c>
      <c r="W157" s="18">
        <f ca="1">$Q$39*COS(RADIANS(-$V155))</f>
        <v>199.27443864088443</v>
      </c>
      <c r="X157" s="18"/>
      <c r="Y157" s="18">
        <f ca="1">$Q$39*SIN(RADIANS(-$V155))</f>
        <v>-1.2207038530183109E-13</v>
      </c>
      <c r="Z157" s="18">
        <f ca="1">$Q$39*SIN(RADIANS(-$V155))</f>
        <v>-1.2207038530183109E-13</v>
      </c>
      <c r="AA157" s="40"/>
      <c r="AB157" s="32"/>
      <c r="AC157" s="32">
        <f>AC152-25*SIN(RADIANS(Tool!$G$29-Tool!$G$22+90))</f>
        <v>-1571.4966564194942</v>
      </c>
      <c r="AD157" s="46">
        <f>AD152-25*COS(RADIANS(Tool!$G$29-Tool!$G$22+90))</f>
        <v>-14906.693632874976</v>
      </c>
      <c r="AE157" s="32"/>
    </row>
    <row r="158" spans="22:31" x14ac:dyDescent="0.25">
      <c r="V158" s="6">
        <f>(V156-V157)*360/Tool!$W$12/Tool!$W$13</f>
        <v>1080</v>
      </c>
      <c r="W158" s="18">
        <f>$Q$40*COS(RADIANS(-$V155))</f>
        <v>996.38095124304755</v>
      </c>
      <c r="X158" s="18"/>
      <c r="Y158" s="6"/>
      <c r="Z158" s="18">
        <f>$Q$40*SIN(RADIANS(-$V155))</f>
        <v>-6.1035729145790038E-13</v>
      </c>
      <c r="AA158" s="40"/>
      <c r="AB158" s="32"/>
      <c r="AC158" s="32">
        <f>AC153-25/SIN(RADIANS(-Tool!G29))*SIN(RADIANS(-Tool!$G$22))</f>
        <v>1056.9556242114529</v>
      </c>
      <c r="AD158" s="46">
        <f>AD153-25/SIN(RADIANS(-Tool!G29))*COS(RADIANS(Tool!$G$22))</f>
        <v>-6.4746377495481847E-14</v>
      </c>
      <c r="AE158" s="32"/>
    </row>
    <row r="159" spans="22:31" x14ac:dyDescent="0.25">
      <c r="V159" s="6">
        <f>90-(V157*Tool!$W$14+V158+Tool!$W$15)</f>
        <v>-1010</v>
      </c>
      <c r="W159" s="18">
        <f>$Q$37*COS(RADIANS(-$V159))</f>
        <v>5.1229579229808851E-12</v>
      </c>
      <c r="X159" s="18">
        <f>$Q$37*SIN(RADIANS(-$V159))</f>
        <v>-1.4075211214206103E-11</v>
      </c>
      <c r="Y159" s="6"/>
      <c r="Z159" s="6"/>
      <c r="AA159" s="40"/>
      <c r="AB159" s="32"/>
      <c r="AC159" s="32">
        <f>AC154-25/SIN(RADIANS(Tool!G28))*SIN(RADIANS(-Tool!$G$22))</f>
        <v>1366.0155108391484</v>
      </c>
      <c r="AD159" s="46">
        <f>AD154-25/SIN(RADIANS(Tool!G28))*COS(RADIANS(Tool!$G$22))</f>
        <v>-8.3678589624289663E-14</v>
      </c>
      <c r="AE159" s="32"/>
    </row>
    <row r="160" spans="22:31" x14ac:dyDescent="0.25">
      <c r="V160" s="6">
        <f>V156+1</f>
        <v>28</v>
      </c>
      <c r="W160" s="18">
        <f>$Q$38*COS(RADIANS(-$V159))</f>
        <v>5.1229579229808851E-12</v>
      </c>
      <c r="X160" s="18">
        <f>$Q$38*SIN(RADIANS(-$V159))</f>
        <v>-1.4075211214206103E-11</v>
      </c>
      <c r="Y160" s="18">
        <f>$Q$38*SIN(RADIANS(-$V159))</f>
        <v>-1.4075211214206103E-11</v>
      </c>
      <c r="Z160" s="6"/>
      <c r="AA160" s="40"/>
      <c r="AB160" s="32"/>
      <c r="AC160" s="32">
        <f>AC155-25*SIN(RADIANS(Tool!$G$28-Tool!$G$22-90))</f>
        <v>11424.609473217766</v>
      </c>
      <c r="AD160" s="46">
        <f>AD155-25*COS(RADIANS(Tool!$G$28-Tool!$G$22-90))</f>
        <v>10058.59396237866</v>
      </c>
      <c r="AE160" s="32"/>
    </row>
    <row r="161" spans="22:31" x14ac:dyDescent="0.25">
      <c r="V161" s="6">
        <f>MOD(V160,Tool!$W$13)</f>
        <v>1</v>
      </c>
      <c r="W161" s="18">
        <f ca="1">$Q$39*COS(RADIANS(-$V159))</f>
        <v>-68.155872065097597</v>
      </c>
      <c r="X161" s="18"/>
      <c r="Y161" s="18">
        <f ca="1">$Q$39*SIN(RADIANS(-$V159))</f>
        <v>187.25671950209332</v>
      </c>
      <c r="Z161" s="18">
        <f ca="1">$Q$39*SIN(RADIANS(-$V159))</f>
        <v>187.25671950209332</v>
      </c>
      <c r="AA161" s="40"/>
      <c r="AB161" s="32"/>
      <c r="AC161" s="32"/>
      <c r="AD161" s="32"/>
      <c r="AE161" s="32"/>
    </row>
    <row r="162" spans="22:31" x14ac:dyDescent="0.25">
      <c r="V162" s="6">
        <f>(V160-V161)*360/Tool!$W$12/Tool!$W$13</f>
        <v>1080</v>
      </c>
      <c r="W162" s="18">
        <f>$Q$40*COS(RADIANS(-$V159))</f>
        <v>-340.78235575111393</v>
      </c>
      <c r="X162" s="18"/>
      <c r="Y162" s="6"/>
      <c r="Z162" s="18">
        <f>$Q$40*SIN(RADIANS(-$V159))</f>
        <v>936.29182737473548</v>
      </c>
      <c r="AA162" s="40"/>
      <c r="AB162" s="32"/>
      <c r="AC162" s="32">
        <f>AC157-25*SIN(RADIANS(Tool!$G$29-Tool!$G$22+90))</f>
        <v>-1546.876462594189</v>
      </c>
      <c r="AD162" s="46">
        <f>AD157-25*COS(RADIANS(Tool!$G$29-Tool!$G$22+90))</f>
        <v>-14911.034837316649</v>
      </c>
      <c r="AE162" s="32"/>
    </row>
    <row r="163" spans="22:31" x14ac:dyDescent="0.25">
      <c r="V163" s="6">
        <f>90-(V161*Tool!$W$14+V162+Tool!$W$15)</f>
        <v>-1015</v>
      </c>
      <c r="W163" s="18">
        <f>$Q$37*COS(RADIANS(-$V163))</f>
        <v>6.3301990091249339E-12</v>
      </c>
      <c r="X163" s="18">
        <f>$Q$37*SIN(RADIANS(-$V163))</f>
        <v>-1.3575155583271214E-11</v>
      </c>
      <c r="Y163" s="6"/>
      <c r="Z163" s="6"/>
      <c r="AA163" s="40"/>
      <c r="AB163" s="32"/>
      <c r="AC163" s="32">
        <f>AC158-25/SIN(RADIANS(-Tool!G29))*SIN(RADIANS(-Tool!$G$22))</f>
        <v>1082.3412895085964</v>
      </c>
      <c r="AD163" s="46">
        <f>AD158-25/SIN(RADIANS(-Tool!G29))*COS(RADIANS(Tool!$G$22))</f>
        <v>-6.6301437926262986E-14</v>
      </c>
      <c r="AE163" s="32"/>
    </row>
    <row r="164" spans="22:31" x14ac:dyDescent="0.25">
      <c r="V164" s="6">
        <f>V160+1</f>
        <v>29</v>
      </c>
      <c r="W164" s="18">
        <f>$Q$38*COS(RADIANS(-$V163))</f>
        <v>6.3301990091249339E-12</v>
      </c>
      <c r="X164" s="18">
        <f>$Q$38*SIN(RADIANS(-$V163))</f>
        <v>-1.3575155583271214E-11</v>
      </c>
      <c r="Y164" s="18">
        <f>$Q$38*SIN(RADIANS(-$V163))</f>
        <v>-1.3575155583271214E-11</v>
      </c>
      <c r="Z164" s="6"/>
      <c r="AA164" s="40"/>
      <c r="AB164" s="32"/>
      <c r="AC164" s="32">
        <f>AC159-25/SIN(RADIANS(Tool!G28))*SIN(RADIANS(-Tool!$G$22))</f>
        <v>1401.3708498984759</v>
      </c>
      <c r="AD164" s="46">
        <f>AD159-25/SIN(RADIANS(Tool!G28))*COS(RADIANS(Tool!$G$22))</f>
        <v>-8.5844366575354931E-14</v>
      </c>
      <c r="AE164" s="32"/>
    </row>
    <row r="165" spans="22:31" x14ac:dyDescent="0.25">
      <c r="V165" s="6">
        <f>MOD(V164,Tool!$W$13)</f>
        <v>2</v>
      </c>
      <c r="W165" s="18">
        <f ca="1">$Q$39*COS(RADIANS(-$V163))</f>
        <v>-84.217016867764031</v>
      </c>
      <c r="X165" s="18"/>
      <c r="Y165" s="18">
        <f ca="1">$Q$39*SIN(RADIANS(-$V163))</f>
        <v>180.60397549759077</v>
      </c>
      <c r="Z165" s="18">
        <f ca="1">$Q$39*SIN(RADIANS(-$V163))</f>
        <v>180.60397549759077</v>
      </c>
      <c r="AA165" s="40"/>
      <c r="AB165" s="32"/>
      <c r="AC165" s="32">
        <f>AC160-25*SIN(RADIANS(Tool!$G$28-Tool!$G$22-90))</f>
        <v>11442.287142747429</v>
      </c>
      <c r="AD165" s="46">
        <f>AD160-25*COS(RADIANS(Tool!$G$28-Tool!$G$22-90))</f>
        <v>10040.916292848997</v>
      </c>
      <c r="AE165" s="32"/>
    </row>
    <row r="166" spans="22:31" x14ac:dyDescent="0.25">
      <c r="V166" s="6">
        <f>(V164-V165)*360/Tool!$W$12/Tool!$W$13</f>
        <v>1080</v>
      </c>
      <c r="W166" s="18">
        <f>$Q$40*COS(RADIANS(-$V163))</f>
        <v>-421.08878564588031</v>
      </c>
      <c r="X166" s="18"/>
      <c r="Y166" s="6"/>
      <c r="Z166" s="18">
        <f>$Q$40*SIN(RADIANS(-$V163))</f>
        <v>903.02781496655916</v>
      </c>
      <c r="AA166" s="40"/>
      <c r="AB166" s="32"/>
      <c r="AC166" s="32"/>
      <c r="AD166" s="46"/>
      <c r="AE166" s="32"/>
    </row>
    <row r="167" spans="22:31" x14ac:dyDescent="0.25">
      <c r="V167" s="6">
        <f>90-(V165*Tool!$W$14+V166+Tool!$W$15)</f>
        <v>-1020</v>
      </c>
      <c r="W167" s="18">
        <f>$Q$37*COS(RADIANS(-$V167))</f>
        <v>7.4892634585309232E-12</v>
      </c>
      <c r="X167" s="18">
        <f>$Q$37*SIN(RADIANS(-$V167))</f>
        <v>-1.2971784821444553E-11</v>
      </c>
      <c r="Y167" s="6"/>
      <c r="Z167" s="6"/>
      <c r="AA167" s="40"/>
      <c r="AB167" s="32"/>
      <c r="AC167" s="32">
        <f>AC162-25*SIN(RADIANS(Tool!$G$29-Tool!$G$22+90))</f>
        <v>-1522.2562687688837</v>
      </c>
      <c r="AD167" s="46">
        <f>AD162-25*COS(RADIANS(Tool!$G$29-Tool!$G$22+90))</f>
        <v>-14915.376041758322</v>
      </c>
      <c r="AE167" s="32"/>
    </row>
    <row r="168" spans="22:31" x14ac:dyDescent="0.25">
      <c r="V168" s="6">
        <f>V164+1</f>
        <v>30</v>
      </c>
      <c r="W168" s="18">
        <f>$Q$38*COS(RADIANS(-$V167))</f>
        <v>7.4892634585309232E-12</v>
      </c>
      <c r="X168" s="18">
        <f>$Q$38*SIN(RADIANS(-$V167))</f>
        <v>-1.2971784821444553E-11</v>
      </c>
      <c r="Y168" s="18">
        <f>$Q$38*SIN(RADIANS(-$V167))</f>
        <v>-1.2971784821444553E-11</v>
      </c>
      <c r="Z168" s="6"/>
      <c r="AA168" s="40"/>
      <c r="AB168" s="32"/>
      <c r="AC168" s="32">
        <f>AC163-25/SIN(RADIANS(-Tool!G29))*SIN(RADIANS(-Tool!$G$22))</f>
        <v>1107.72695480574</v>
      </c>
      <c r="AD168" s="46">
        <f>AD163-25/SIN(RADIANS(-Tool!G29))*COS(RADIANS(Tool!$G$22))</f>
        <v>-6.7856498357044126E-14</v>
      </c>
      <c r="AE168" s="32"/>
    </row>
    <row r="169" spans="22:31" x14ac:dyDescent="0.25">
      <c r="V169" s="6">
        <f>MOD(V168,Tool!$W$13)</f>
        <v>0</v>
      </c>
      <c r="W169" s="18">
        <f ca="1">$Q$39*COS(RADIANS(-$V167))</f>
        <v>-99.637219320442298</v>
      </c>
      <c r="X169" s="18"/>
      <c r="Y169" s="18">
        <f ca="1">$Q$39*SIN(RADIANS(-$V167))</f>
        <v>172.57672618788922</v>
      </c>
      <c r="Z169" s="18">
        <f ca="1">$Q$39*SIN(RADIANS(-$V167))</f>
        <v>172.57672618788922</v>
      </c>
      <c r="AA169" s="40"/>
      <c r="AB169" s="32"/>
      <c r="AC169" s="32">
        <f>AC164-25/SIN(RADIANS(Tool!G28))*SIN(RADIANS(-Tool!$G$22))</f>
        <v>1436.7261889578033</v>
      </c>
      <c r="AD169" s="46">
        <f>AD164-25/SIN(RADIANS(Tool!G28))*COS(RADIANS(Tool!$G$22))</f>
        <v>-8.8010143526420199E-14</v>
      </c>
      <c r="AE169" s="32"/>
    </row>
    <row r="170" spans="22:31" x14ac:dyDescent="0.25">
      <c r="V170" s="6">
        <f>(V168-V169)*360/Tool!$W$12/Tool!$W$13</f>
        <v>1200</v>
      </c>
      <c r="W170" s="18">
        <f>$Q$40*COS(RADIANS(-$V167))</f>
        <v>-498.19047562152423</v>
      </c>
      <c r="X170" s="18"/>
      <c r="Y170" s="6"/>
      <c r="Z170" s="18">
        <f>$Q$40*SIN(RADIANS(-$V167))</f>
        <v>862.891215623383</v>
      </c>
      <c r="AA170" s="40"/>
      <c r="AB170" s="32"/>
      <c r="AC170" s="32">
        <f>AC165-25*SIN(RADIANS(Tool!$G$28-Tool!$G$22-90))</f>
        <v>11459.964812277092</v>
      </c>
      <c r="AD170" s="46">
        <f>AD165-25*COS(RADIANS(Tool!$G$28-Tool!$G$22-90))</f>
        <v>10023.238623319334</v>
      </c>
      <c r="AE170" s="32"/>
    </row>
    <row r="171" spans="22:31" x14ac:dyDescent="0.25">
      <c r="V171" s="6">
        <f>90-(V169*Tool!$W$14+V170+Tool!$W$15)</f>
        <v>-1130</v>
      </c>
      <c r="W171" s="18">
        <f>$Q$37*COS(RADIANS(-$V171))</f>
        <v>9.6280115136436858E-12</v>
      </c>
      <c r="X171" s="18">
        <f>$Q$37*SIN(RADIANS(-$V171))</f>
        <v>1.1474217310923238E-11</v>
      </c>
      <c r="Y171" s="6"/>
      <c r="Z171" s="6"/>
      <c r="AA171" s="40"/>
      <c r="AB171" s="32"/>
      <c r="AC171" s="32"/>
      <c r="AD171" s="46"/>
      <c r="AE171" s="32"/>
    </row>
    <row r="172" spans="22:31" x14ac:dyDescent="0.25">
      <c r="V172" s="6">
        <f>V168+1</f>
        <v>31</v>
      </c>
      <c r="W172" s="18">
        <f>$Q$38*COS(RADIANS(-$V171))</f>
        <v>9.6280115136436858E-12</v>
      </c>
      <c r="X172" s="18">
        <f>$Q$38*SIN(RADIANS(-$V171))</f>
        <v>1.1474217310923238E-11</v>
      </c>
      <c r="Y172" s="18">
        <f>$Q$38*SIN(RADIANS(-$V171))</f>
        <v>1.1474217310923238E-11</v>
      </c>
      <c r="Z172" s="6"/>
      <c r="AA172" s="40"/>
      <c r="AB172" s="32"/>
      <c r="AC172" s="32">
        <f>AC167-25*SIN(RADIANS(Tool!$G$29-Tool!$G$22+90))</f>
        <v>-1497.6360749435785</v>
      </c>
      <c r="AD172" s="46">
        <f>AD167-25*COS(RADIANS(Tool!$G$29-Tool!$G$22+90))</f>
        <v>-14919.717246199994</v>
      </c>
      <c r="AE172" s="32"/>
    </row>
    <row r="173" spans="22:31" x14ac:dyDescent="0.25">
      <c r="V173" s="6">
        <f>MOD(V172,Tool!$W$13)</f>
        <v>1</v>
      </c>
      <c r="W173" s="18">
        <f ca="1">$Q$39*COS(RADIANS(-$V171))</f>
        <v>-128.09114008560132</v>
      </c>
      <c r="X173" s="18"/>
      <c r="Y173" s="18">
        <f ca="1">$Q$39*SIN(RADIANS(-$V171))</f>
        <v>-152.65307637650304</v>
      </c>
      <c r="Z173" s="18">
        <f ca="1">$Q$39*SIN(RADIANS(-$V171))</f>
        <v>-152.65307637650304</v>
      </c>
      <c r="AA173" s="40"/>
      <c r="AB173" s="32"/>
      <c r="AC173" s="32">
        <f>AC168-25/SIN(RADIANS(-Tool!G29))*SIN(RADIANS(-Tool!$G$22))</f>
        <v>1133.1126201028835</v>
      </c>
      <c r="AD173" s="46">
        <f>AD168-25/SIN(RADIANS(-Tool!G29))*COS(RADIANS(Tool!$G$22))</f>
        <v>-6.9411558787825265E-14</v>
      </c>
      <c r="AE173" s="32"/>
    </row>
    <row r="174" spans="22:31" x14ac:dyDescent="0.25">
      <c r="V174" s="6">
        <f>(V172-V173)*360/Tool!$W$12/Tool!$W$13</f>
        <v>1200</v>
      </c>
      <c r="W174" s="18">
        <f>$Q$40*COS(RADIANS(-$V171))</f>
        <v>-640.46132998672022</v>
      </c>
      <c r="X174" s="18"/>
      <c r="Y174" s="6"/>
      <c r="Z174" s="18">
        <f>$Q$40*SIN(RADIANS(-$V171))</f>
        <v>-763.27209092933685</v>
      </c>
      <c r="AA174" s="40"/>
      <c r="AB174" s="32"/>
      <c r="AC174" s="32">
        <f>AC169-25/SIN(RADIANS(Tool!G28))*SIN(RADIANS(-Tool!$G$22))</f>
        <v>1472.0815280171307</v>
      </c>
      <c r="AD174" s="46">
        <f>AD169-25/SIN(RADIANS(Tool!G28))*COS(RADIANS(Tool!$G$22))</f>
        <v>-9.0175920477485468E-14</v>
      </c>
      <c r="AE174" s="32"/>
    </row>
    <row r="175" spans="22:31" x14ac:dyDescent="0.25">
      <c r="V175" s="6">
        <f>90-(V173*Tool!$W$14+V174+Tool!$W$15)</f>
        <v>-1135</v>
      </c>
      <c r="W175" s="18">
        <f>$Q$37*COS(RADIANS(-$V175))</f>
        <v>8.5913300908765484E-12</v>
      </c>
      <c r="X175" s="18">
        <f>$Q$37*SIN(RADIANS(-$V175))</f>
        <v>1.2269690944548889E-11</v>
      </c>
      <c r="Y175" s="6"/>
      <c r="Z175" s="6"/>
      <c r="AA175" s="40"/>
      <c r="AB175" s="32"/>
      <c r="AC175" s="32">
        <f>AC170-25*SIN(RADIANS(Tool!$G$28-Tool!$G$22-90))</f>
        <v>11477.642481806755</v>
      </c>
      <c r="AD175" s="46">
        <f>AD170-25*COS(RADIANS(Tool!$G$28-Tool!$G$22-90))</f>
        <v>10005.560953789671</v>
      </c>
      <c r="AE175" s="32"/>
    </row>
    <row r="176" spans="22:31" x14ac:dyDescent="0.25">
      <c r="V176" s="6">
        <f>V172+1</f>
        <v>32</v>
      </c>
      <c r="W176" s="18">
        <f>$Q$38*COS(RADIANS(-$V175))</f>
        <v>8.5913300908765484E-12</v>
      </c>
      <c r="X176" s="18">
        <f>$Q$38*SIN(RADIANS(-$V175))</f>
        <v>1.2269690944548889E-11</v>
      </c>
      <c r="Y176" s="18">
        <f>$Q$38*SIN(RADIANS(-$V175))</f>
        <v>1.2269690944548889E-11</v>
      </c>
      <c r="Z176" s="6"/>
      <c r="AA176" s="40"/>
      <c r="AB176" s="32"/>
      <c r="AC176" s="32"/>
      <c r="AD176" s="46"/>
      <c r="AE176" s="32"/>
    </row>
    <row r="177" spans="22:31" x14ac:dyDescent="0.25">
      <c r="V177" s="6">
        <f>MOD(V176,Tool!$W$13)</f>
        <v>2</v>
      </c>
      <c r="W177" s="18">
        <f ca="1">$Q$39*COS(RADIANS(-$V175))</f>
        <v>-114.2991223714937</v>
      </c>
      <c r="X177" s="18"/>
      <c r="Y177" s="18">
        <f ca="1">$Q$39*SIN(RADIANS(-$V175))</f>
        <v>-163.23606378722172</v>
      </c>
      <c r="Z177" s="18">
        <f ca="1">$Q$39*SIN(RADIANS(-$V175))</f>
        <v>-163.23606378722172</v>
      </c>
      <c r="AA177" s="40"/>
      <c r="AB177" s="32"/>
      <c r="AC177" s="32">
        <f>AC172-25*SIN(RADIANS(Tool!$G$29-Tool!$G$22+90))</f>
        <v>-1473.0158811182732</v>
      </c>
      <c r="AD177" s="46">
        <f>AD172-25*COS(RADIANS(Tool!$G$29-Tool!$G$22+90))</f>
        <v>-14924.058450641667</v>
      </c>
      <c r="AE177" s="32"/>
    </row>
    <row r="178" spans="22:31" x14ac:dyDescent="0.25">
      <c r="V178" s="6">
        <f>(V176-V177)*360/Tool!$W$12/Tool!$W$13</f>
        <v>1200</v>
      </c>
      <c r="W178" s="18">
        <f>$Q$40*COS(RADIANS(-$V175))</f>
        <v>-571.5006352620527</v>
      </c>
      <c r="X178" s="18"/>
      <c r="Y178" s="6"/>
      <c r="Z178" s="18">
        <f>$Q$40*SIN(RADIANS(-$V175))</f>
        <v>-816.18749310135252</v>
      </c>
      <c r="AA178" s="40"/>
      <c r="AB178" s="32"/>
      <c r="AC178" s="32">
        <f>AC173-25/SIN(RADIANS(-Tool!G29))*SIN(RADIANS(-Tool!$G$22))</f>
        <v>1158.498285400027</v>
      </c>
      <c r="AD178" s="46">
        <f>AD173-25/SIN(RADIANS(-Tool!G29))*COS(RADIANS(Tool!$G$22))</f>
        <v>-7.0966619218606404E-14</v>
      </c>
      <c r="AE178" s="32"/>
    </row>
    <row r="179" spans="22:31" x14ac:dyDescent="0.25">
      <c r="V179" s="6">
        <f>90-(V177*Tool!$W$14+V178+Tool!$W$15)</f>
        <v>-1140</v>
      </c>
      <c r="W179" s="18">
        <f>$Q$37*COS(RADIANS(-$V179))</f>
        <v>7.489263458530941E-12</v>
      </c>
      <c r="X179" s="18">
        <f>$Q$37*SIN(RADIANS(-$V179))</f>
        <v>1.2971784821444544E-11</v>
      </c>
      <c r="Y179" s="6"/>
      <c r="Z179" s="6"/>
      <c r="AA179" s="40"/>
      <c r="AB179" s="32"/>
      <c r="AC179" s="32">
        <f>AC174-25/SIN(RADIANS(Tool!G28))*SIN(RADIANS(-Tool!$G$22))</f>
        <v>1507.4368670764582</v>
      </c>
      <c r="AD179" s="46">
        <f>AD174-25/SIN(RADIANS(Tool!G28))*COS(RADIANS(Tool!$G$22))</f>
        <v>-9.2341697428550736E-14</v>
      </c>
      <c r="AE179" s="32"/>
    </row>
    <row r="180" spans="22:31" x14ac:dyDescent="0.25">
      <c r="V180" s="6">
        <f>V176+1</f>
        <v>33</v>
      </c>
      <c r="W180" s="18">
        <f>$Q$38*COS(RADIANS(-$V179))</f>
        <v>7.489263458530941E-12</v>
      </c>
      <c r="X180" s="18">
        <f>$Q$38*SIN(RADIANS(-$V179))</f>
        <v>1.2971784821444544E-11</v>
      </c>
      <c r="Y180" s="18">
        <f>$Q$38*SIN(RADIANS(-$V179))</f>
        <v>1.2971784821444544E-11</v>
      </c>
      <c r="Z180" s="6"/>
      <c r="AA180" s="40"/>
      <c r="AB180" s="32"/>
      <c r="AC180" s="32">
        <f>AC175-25*SIN(RADIANS(Tool!$G$28-Tool!$G$22-90))</f>
        <v>11495.320151336418</v>
      </c>
      <c r="AD180" s="46">
        <f>AD175-25*COS(RADIANS(Tool!$G$28-Tool!$G$22-90))</f>
        <v>9987.8832842600077</v>
      </c>
      <c r="AE180" s="32"/>
    </row>
    <row r="181" spans="22:31" x14ac:dyDescent="0.25">
      <c r="V181" s="6">
        <f>MOD(V180,Tool!$W$13)</f>
        <v>0</v>
      </c>
      <c r="W181" s="18">
        <f ca="1">$Q$39*COS(RADIANS(-$V179))</f>
        <v>-99.63721932044254</v>
      </c>
      <c r="X181" s="18"/>
      <c r="Y181" s="18">
        <f ca="1">$Q$39*SIN(RADIANS(-$V179))</f>
        <v>-172.57672618788908</v>
      </c>
      <c r="Z181" s="18">
        <f ca="1">$Q$39*SIN(RADIANS(-$V179))</f>
        <v>-172.57672618788908</v>
      </c>
      <c r="AA181" s="40"/>
      <c r="AB181" s="32"/>
      <c r="AC181" s="32"/>
      <c r="AD181" s="46"/>
      <c r="AE181" s="32"/>
    </row>
    <row r="182" spans="22:31" x14ac:dyDescent="0.25">
      <c r="V182" s="6">
        <f>(V180-V181)*360/Tool!$W$12/Tool!$W$13</f>
        <v>1320</v>
      </c>
      <c r="W182" s="18">
        <f>$Q$40*COS(RADIANS(-$V179))</f>
        <v>-498.19047562152542</v>
      </c>
      <c r="X182" s="18"/>
      <c r="Y182" s="6"/>
      <c r="Z182" s="18">
        <f>$Q$40*SIN(RADIANS(-$V179))</f>
        <v>-862.89121562338244</v>
      </c>
      <c r="AA182" s="40"/>
      <c r="AB182" s="32"/>
      <c r="AC182" s="32">
        <f>AC177-25*SIN(RADIANS(Tool!$G$29-Tool!$G$22+90))</f>
        <v>-1448.395687292968</v>
      </c>
      <c r="AD182" s="46">
        <f>AD177-25*COS(RADIANS(Tool!$G$29-Tool!$G$22+90))</f>
        <v>-14928.39965508334</v>
      </c>
      <c r="AE182" s="32"/>
    </row>
    <row r="183" spans="22:31" x14ac:dyDescent="0.25">
      <c r="V183" s="6">
        <f>90-(V181*Tool!$W$14+V182+Tool!$W$15)</f>
        <v>-1250</v>
      </c>
      <c r="W183" s="18">
        <f>$Q$37*COS(RADIANS(-$V183))</f>
        <v>-1.4750969436624538E-11</v>
      </c>
      <c r="X183" s="18">
        <f>$Q$37*SIN(RADIANS(-$V183))</f>
        <v>2.6009939032828614E-12</v>
      </c>
      <c r="Y183" s="6"/>
      <c r="Z183" s="6"/>
      <c r="AA183" s="40"/>
      <c r="AB183" s="32"/>
      <c r="AC183" s="32">
        <f>AC178-25/SIN(RADIANS(-Tool!G29))*SIN(RADIANS(-Tool!$G$22))</f>
        <v>1183.8839506971706</v>
      </c>
      <c r="AD183" s="46">
        <f>AD178-25/SIN(RADIANS(-Tool!G29))*COS(RADIANS(Tool!$G$22))</f>
        <v>-7.2521679649387543E-14</v>
      </c>
      <c r="AE183" s="32"/>
    </row>
    <row r="184" spans="22:31" x14ac:dyDescent="0.25">
      <c r="V184" s="6">
        <f>V180+1</f>
        <v>34</v>
      </c>
      <c r="W184" s="18">
        <f>$Q$38*COS(RADIANS(-$V183))</f>
        <v>-1.4750969436624538E-11</v>
      </c>
      <c r="X184" s="18">
        <f>$Q$38*SIN(RADIANS(-$V183))</f>
        <v>2.6009939032828614E-12</v>
      </c>
      <c r="Y184" s="18">
        <f>$Q$38*SIN(RADIANS(-$V183))</f>
        <v>2.6009939032828614E-12</v>
      </c>
      <c r="Z184" s="6"/>
      <c r="AA184" s="40"/>
      <c r="AB184" s="32"/>
      <c r="AC184" s="32">
        <f>AC179-25/SIN(RADIANS(Tool!G28))*SIN(RADIANS(-Tool!$G$22))</f>
        <v>1542.7922061357856</v>
      </c>
      <c r="AD184" s="46">
        <f>AD179-25/SIN(RADIANS(Tool!G28))*COS(RADIANS(Tool!$G$22))</f>
        <v>-9.4507474379616004E-14</v>
      </c>
      <c r="AE184" s="32"/>
    </row>
    <row r="185" spans="22:31" x14ac:dyDescent="0.25">
      <c r="V185" s="6">
        <f>MOD(V184,Tool!$W$13)</f>
        <v>1</v>
      </c>
      <c r="W185" s="18">
        <f ca="1">$Q$39*COS(RADIANS(-$V183))</f>
        <v>196.24701215069848</v>
      </c>
      <c r="X185" s="18"/>
      <c r="Y185" s="18">
        <f ca="1">$Q$39*SIN(RADIANS(-$V183))</f>
        <v>-34.603643125590239</v>
      </c>
      <c r="Z185" s="18">
        <f ca="1">$Q$39*SIN(RADIANS(-$V183))</f>
        <v>-34.603643125590239</v>
      </c>
      <c r="AA185" s="40"/>
      <c r="AB185" s="32"/>
      <c r="AC185" s="32">
        <f>AC180-25*SIN(RADIANS(Tool!$G$28-Tool!$G$22-90))</f>
        <v>11512.997820866081</v>
      </c>
      <c r="AD185" s="46">
        <f>AD180-25*COS(RADIANS(Tool!$G$28-Tool!$G$22-90))</f>
        <v>9970.2056147303447</v>
      </c>
      <c r="AE185" s="32"/>
    </row>
    <row r="186" spans="22:31" x14ac:dyDescent="0.25">
      <c r="V186" s="6">
        <f>(V184-V185)*360/Tool!$W$12/Tool!$W$13</f>
        <v>1320</v>
      </c>
      <c r="W186" s="18">
        <f>$Q$40*COS(RADIANS(-$V183))</f>
        <v>981.24368573783192</v>
      </c>
      <c r="X186" s="18"/>
      <c r="Y186" s="6"/>
      <c r="Z186" s="18">
        <f>$Q$40*SIN(RADIANS(-$V183))</f>
        <v>-173.01973644539842</v>
      </c>
      <c r="AA186" s="40"/>
      <c r="AB186" s="32"/>
      <c r="AC186" s="32"/>
      <c r="AD186" s="32"/>
      <c r="AE186" s="32"/>
    </row>
    <row r="187" spans="22:31" x14ac:dyDescent="0.25">
      <c r="V187" s="6">
        <f>90-(V185*Tool!$W$14+V186+Tool!$W$15)</f>
        <v>-1255</v>
      </c>
      <c r="W187" s="18">
        <f>$Q$37*COS(RADIANS(-$V187))</f>
        <v>-1.4921529100001498E-11</v>
      </c>
      <c r="X187" s="18">
        <f>$Q$37*SIN(RADIANS(-$V187))</f>
        <v>1.3054646387222993E-12</v>
      </c>
      <c r="Y187" s="6"/>
      <c r="Z187" s="6"/>
      <c r="AA187" s="40"/>
      <c r="AB187" s="32"/>
      <c r="AC187" s="32">
        <f>AC182-25*SIN(RADIANS(Tool!$G$29-Tool!$G$22+90))</f>
        <v>-1423.7754934676627</v>
      </c>
      <c r="AD187" s="46">
        <f>AD182-25*COS(RADIANS(Tool!$G$29-Tool!$G$22+90))</f>
        <v>-14932.740859525013</v>
      </c>
      <c r="AE187" s="32"/>
    </row>
    <row r="188" spans="22:31" x14ac:dyDescent="0.25">
      <c r="V188" s="6">
        <f>V184+1</f>
        <v>35</v>
      </c>
      <c r="W188" s="18">
        <f>$Q$38*COS(RADIANS(-$V187))</f>
        <v>-1.4921529100001498E-11</v>
      </c>
      <c r="X188" s="18">
        <f>$Q$38*SIN(RADIANS(-$V187))</f>
        <v>1.3054646387222993E-12</v>
      </c>
      <c r="Y188" s="18">
        <f>$Q$38*SIN(RADIANS(-$V187))</f>
        <v>1.3054646387222993E-12</v>
      </c>
      <c r="Z188" s="6"/>
      <c r="AA188" s="40"/>
      <c r="AB188" s="32"/>
      <c r="AC188" s="32">
        <f>AC183-25/SIN(RADIANS(-Tool!G29))*SIN(RADIANS(-Tool!$G$22))</f>
        <v>1209.2696159943141</v>
      </c>
      <c r="AD188" s="46">
        <f>AD183-25/SIN(RADIANS(-Tool!G29))*COS(RADIANS(Tool!$G$22))</f>
        <v>-7.4076740080168682E-14</v>
      </c>
      <c r="AE188" s="32"/>
    </row>
    <row r="189" spans="22:31" x14ac:dyDescent="0.25">
      <c r="V189" s="6">
        <f>MOD(V188,Tool!$W$13)</f>
        <v>2</v>
      </c>
      <c r="W189" s="18">
        <f ca="1">$Q$39*COS(RADIANS(-$V187))</f>
        <v>198.51613923925797</v>
      </c>
      <c r="X189" s="18"/>
      <c r="Y189" s="18">
        <f ca="1">$Q$39*SIN(RADIANS(-$V187))</f>
        <v>-17.367911710368713</v>
      </c>
      <c r="Z189" s="18">
        <f ca="1">$Q$39*SIN(RADIANS(-$V187))</f>
        <v>-17.367911710368713</v>
      </c>
      <c r="AA189" s="40"/>
      <c r="AB189" s="32"/>
      <c r="AC189" s="32">
        <f>AC184-25/SIN(RADIANS(Tool!G28))*SIN(RADIANS(-Tool!$G$22))</f>
        <v>1578.147545195113</v>
      </c>
      <c r="AD189" s="46">
        <f>AD184-25/SIN(RADIANS(Tool!G28))*COS(RADIANS(Tool!$G$22))</f>
        <v>-9.6673251330681273E-14</v>
      </c>
      <c r="AE189" s="32"/>
    </row>
    <row r="190" spans="22:31" x14ac:dyDescent="0.25">
      <c r="V190" s="6">
        <f>(V188-V189)*360/Tool!$W$12/Tool!$W$13</f>
        <v>1320</v>
      </c>
      <c r="W190" s="18">
        <f>$Q$40*COS(RADIANS(-$V187))</f>
        <v>992.58942090793414</v>
      </c>
      <c r="X190" s="18"/>
      <c r="Y190" s="6"/>
      <c r="Z190" s="18">
        <f>$Q$40*SIN(RADIANS(-$V187))</f>
        <v>-86.84032186520497</v>
      </c>
      <c r="AA190" s="40"/>
      <c r="AB190" s="32"/>
      <c r="AC190" s="32">
        <f>AC185-25*SIN(RADIANS(Tool!$G$28-Tool!$G$22-90))</f>
        <v>11530.675490395744</v>
      </c>
      <c r="AD190" s="46">
        <f>AD185-25*COS(RADIANS(Tool!$G$28-Tool!$G$22-90))</f>
        <v>9952.5279452006816</v>
      </c>
      <c r="AE190" s="32"/>
    </row>
    <row r="191" spans="22:31" x14ac:dyDescent="0.25">
      <c r="V191" s="6">
        <f>90-(V189*Tool!$W$14+V190+Tool!$W$15)</f>
        <v>-1260</v>
      </c>
      <c r="W191" s="18">
        <f>$Q$37*COS(RADIANS(-$V191))</f>
        <v>-1.4978526917061833E-11</v>
      </c>
      <c r="X191" s="18">
        <f>$Q$37*SIN(RADIANS(-$V191))</f>
        <v>1.2845643376471836E-26</v>
      </c>
      <c r="Y191" s="6"/>
      <c r="Z191" s="6"/>
      <c r="AA191" s="40"/>
      <c r="AB191" s="32"/>
      <c r="AC191" s="32"/>
      <c r="AD191" s="46"/>
      <c r="AE191" s="32"/>
    </row>
    <row r="192" spans="22:31" x14ac:dyDescent="0.25">
      <c r="V192" s="6">
        <f>V188+1</f>
        <v>36</v>
      </c>
      <c r="W192" s="18">
        <f>$Q$38*COS(RADIANS(-$V191))</f>
        <v>-1.4978526917061833E-11</v>
      </c>
      <c r="X192" s="18">
        <f>$Q$38*SIN(RADIANS(-$V191))</f>
        <v>1.2845643376471836E-26</v>
      </c>
      <c r="Y192" s="18">
        <f>$Q$38*SIN(RADIANS(-$V191))</f>
        <v>1.2845643376471836E-26</v>
      </c>
      <c r="Z192" s="6"/>
      <c r="AA192" s="40"/>
      <c r="AB192" s="32"/>
      <c r="AC192" s="32">
        <f>AC187-25*SIN(RADIANS(Tool!$G$29-Tool!$G$22+90))</f>
        <v>-1399.1552996423575</v>
      </c>
      <c r="AD192" s="46">
        <f>AD187-25*COS(RADIANS(Tool!$G$29-Tool!$G$22+90))</f>
        <v>-14937.082063966685</v>
      </c>
      <c r="AE192" s="32"/>
    </row>
    <row r="193" spans="22:31" x14ac:dyDescent="0.25">
      <c r="V193" s="6">
        <f>MOD(V192,Tool!$W$13)</f>
        <v>0</v>
      </c>
      <c r="W193" s="18">
        <f ca="1">$Q$39*COS(RADIANS(-$V191))</f>
        <v>199.27443864088443</v>
      </c>
      <c r="X193" s="18"/>
      <c r="Y193" s="18">
        <f ca="1">$Q$39*SIN(RADIANS(-$V191))</f>
        <v>-1.708985394225635E-13</v>
      </c>
      <c r="Z193" s="18">
        <f ca="1">$Q$39*SIN(RADIANS(-$V191))</f>
        <v>-1.708985394225635E-13</v>
      </c>
      <c r="AA193" s="40"/>
      <c r="AB193" s="32"/>
      <c r="AC193" s="32">
        <f>AC188-25/SIN(RADIANS(-Tool!G29))*SIN(RADIANS(-Tool!$G$22))</f>
        <v>1234.6552812914576</v>
      </c>
      <c r="AD193" s="46">
        <f>AD188-25/SIN(RADIANS(-Tool!G29))*COS(RADIANS(Tool!$G$22))</f>
        <v>-7.5631800510949821E-14</v>
      </c>
      <c r="AE193" s="32"/>
    </row>
    <row r="194" spans="22:31" x14ac:dyDescent="0.25">
      <c r="V194" s="6">
        <f>(V192-V193)*360/Tool!$W$12/Tool!$W$13</f>
        <v>1440</v>
      </c>
      <c r="W194" s="18">
        <f>$Q$40*COS(RADIANS(-$V191))</f>
        <v>996.38095124304755</v>
      </c>
      <c r="X194" s="18"/>
      <c r="Y194" s="6"/>
      <c r="Z194" s="18">
        <f>$Q$40*SIN(RADIANS(-$V191))</f>
        <v>-8.5450020804106056E-13</v>
      </c>
      <c r="AA194" s="40"/>
      <c r="AB194" s="32"/>
      <c r="AC194" s="32">
        <f>AC189-25/SIN(RADIANS(Tool!G28))*SIN(RADIANS(-Tool!$G$22))</f>
        <v>1613.5028842544405</v>
      </c>
      <c r="AD194" s="46">
        <f>AD189-25/SIN(RADIANS(Tool!G28))*COS(RADIANS(Tool!$G$22))</f>
        <v>-9.8839028281746541E-14</v>
      </c>
      <c r="AE194" s="32"/>
    </row>
    <row r="195" spans="22:31" x14ac:dyDescent="0.25">
      <c r="V195" s="6">
        <f>90-(V193*Tool!$W$14+V194+Tool!$W$15)</f>
        <v>-1370</v>
      </c>
      <c r="W195" s="18">
        <f>$Q$37*COS(RADIANS(-$V195))</f>
        <v>5.1229579229808818E-12</v>
      </c>
      <c r="X195" s="18">
        <f>$Q$37*SIN(RADIANS(-$V195))</f>
        <v>-1.4075211214206104E-11</v>
      </c>
      <c r="Y195" s="6"/>
      <c r="Z195" s="6"/>
      <c r="AA195" s="40"/>
      <c r="AB195" s="32"/>
      <c r="AC195" s="32">
        <f>AC190-25*SIN(RADIANS(Tool!$G$28-Tool!$G$22-90))</f>
        <v>11548.353159925407</v>
      </c>
      <c r="AD195" s="46">
        <f>AD190-25*COS(RADIANS(Tool!$G$28-Tool!$G$22-90))</f>
        <v>9934.8502756710186</v>
      </c>
      <c r="AE195" s="32"/>
    </row>
    <row r="196" spans="22:31" x14ac:dyDescent="0.25">
      <c r="V196" s="6">
        <f>V192+1</f>
        <v>37</v>
      </c>
      <c r="W196" s="18">
        <f>$Q$38*COS(RADIANS(-$V195))</f>
        <v>5.1229579229808818E-12</v>
      </c>
      <c r="X196" s="18">
        <f>$Q$38*SIN(RADIANS(-$V195))</f>
        <v>-1.4075211214206104E-11</v>
      </c>
      <c r="Y196" s="18">
        <f>$Q$38*SIN(RADIANS(-$V195))</f>
        <v>-1.4075211214206104E-11</v>
      </c>
      <c r="Z196" s="6"/>
      <c r="AA196" s="40"/>
      <c r="AB196" s="32"/>
      <c r="AC196" s="32"/>
      <c r="AD196" s="46"/>
      <c r="AE196" s="32"/>
    </row>
    <row r="197" spans="22:31" x14ac:dyDescent="0.25">
      <c r="V197" s="6">
        <f>MOD(V196,Tool!$W$13)</f>
        <v>1</v>
      </c>
      <c r="W197" s="18">
        <f ca="1">$Q$39*COS(RADIANS(-$V195))</f>
        <v>-68.155872065097554</v>
      </c>
      <c r="X197" s="18"/>
      <c r="Y197" s="18">
        <f ca="1">$Q$39*SIN(RADIANS(-$V195))</f>
        <v>187.25671950209335</v>
      </c>
      <c r="Z197" s="18">
        <f ca="1">$Q$39*SIN(RADIANS(-$V195))</f>
        <v>187.25671950209335</v>
      </c>
      <c r="AA197" s="40"/>
      <c r="AB197" s="32"/>
      <c r="AC197" s="32">
        <f>AC192-25*SIN(RADIANS(Tool!$G$29-Tool!$G$22+90))</f>
        <v>-1374.5351058170522</v>
      </c>
      <c r="AD197" s="46">
        <f>AD192-25*COS(RADIANS(Tool!$G$29-Tool!$G$22+90))</f>
        <v>-14941.423268408358</v>
      </c>
      <c r="AE197" s="32"/>
    </row>
    <row r="198" spans="22:31" x14ac:dyDescent="0.25">
      <c r="V198" s="6">
        <f>(V196-V197)*360/Tool!$W$12/Tool!$W$13</f>
        <v>1440</v>
      </c>
      <c r="W198" s="18">
        <f>$Q$40*COS(RADIANS(-$V195))</f>
        <v>-340.7823557511137</v>
      </c>
      <c r="X198" s="18"/>
      <c r="Y198" s="6"/>
      <c r="Z198" s="18">
        <f>$Q$40*SIN(RADIANS(-$V195))</f>
        <v>936.29182737473559</v>
      </c>
      <c r="AA198" s="40"/>
      <c r="AB198" s="32"/>
      <c r="AC198" s="32">
        <f>AC193-25/SIN(RADIANS(-Tool!G29))*SIN(RADIANS(-Tool!$G$22))</f>
        <v>1260.0409465886012</v>
      </c>
      <c r="AD198" s="46">
        <f>AD193-25/SIN(RADIANS(-Tool!G29))*COS(RADIANS(Tool!$G$22))</f>
        <v>-7.718686094173096E-14</v>
      </c>
      <c r="AE198" s="32"/>
    </row>
    <row r="199" spans="22:31" x14ac:dyDescent="0.25">
      <c r="V199" s="6">
        <f>90-(V197*Tool!$W$14+V198+Tool!$W$15)</f>
        <v>-1375</v>
      </c>
      <c r="W199" s="18">
        <f>$Q$37*COS(RADIANS(-$V199))</f>
        <v>6.3301990091249307E-12</v>
      </c>
      <c r="X199" s="18">
        <f>$Q$37*SIN(RADIANS(-$V199))</f>
        <v>-1.3575155583271216E-11</v>
      </c>
      <c r="Y199" s="6"/>
      <c r="Z199" s="6"/>
      <c r="AA199" s="40"/>
      <c r="AB199" s="32"/>
      <c r="AC199" s="32">
        <f>AC194-25/SIN(RADIANS(Tool!G28))*SIN(RADIANS(-Tool!$G$22))</f>
        <v>1648.8582233137679</v>
      </c>
      <c r="AD199" s="46">
        <f>AD194-25/SIN(RADIANS(Tool!G28))*COS(RADIANS(Tool!$G$22))</f>
        <v>-1.0100480523281181E-13</v>
      </c>
      <c r="AE199" s="32"/>
    </row>
    <row r="200" spans="22:31" x14ac:dyDescent="0.25">
      <c r="V200" s="6">
        <f>V196+1</f>
        <v>38</v>
      </c>
      <c r="W200" s="18">
        <f>$Q$38*COS(RADIANS(-$V199))</f>
        <v>6.3301990091249307E-12</v>
      </c>
      <c r="X200" s="18">
        <f>$Q$38*SIN(RADIANS(-$V199))</f>
        <v>-1.3575155583271216E-11</v>
      </c>
      <c r="Y200" s="18">
        <f>$Q$38*SIN(RADIANS(-$V199))</f>
        <v>-1.3575155583271216E-11</v>
      </c>
      <c r="Z200" s="6"/>
      <c r="AA200" s="40"/>
      <c r="AB200" s="32"/>
      <c r="AC200" s="32">
        <f>AC195-25*SIN(RADIANS(Tool!$G$28-Tool!$G$22-90))</f>
        <v>11566.03082945507</v>
      </c>
      <c r="AD200" s="46">
        <f>AD195-25*COS(RADIANS(Tool!$G$28-Tool!$G$22-90))</f>
        <v>9917.1726061413556</v>
      </c>
      <c r="AE200" s="32"/>
    </row>
    <row r="201" spans="22:31" x14ac:dyDescent="0.25">
      <c r="V201" s="6">
        <f>MOD(V200,Tool!$W$13)</f>
        <v>2</v>
      </c>
      <c r="W201" s="18">
        <f ca="1">$Q$39*COS(RADIANS(-$V199))</f>
        <v>-84.217016867763988</v>
      </c>
      <c r="X201" s="18"/>
      <c r="Y201" s="18">
        <f ca="1">$Q$39*SIN(RADIANS(-$V199))</f>
        <v>180.60397549759077</v>
      </c>
      <c r="Z201" s="18">
        <f ca="1">$Q$39*SIN(RADIANS(-$V199))</f>
        <v>180.60397549759077</v>
      </c>
      <c r="AA201" s="40"/>
      <c r="AB201" s="32"/>
      <c r="AC201" s="32"/>
      <c r="AD201" s="46"/>
      <c r="AE201" s="32"/>
    </row>
    <row r="202" spans="22:31" x14ac:dyDescent="0.25">
      <c r="V202" s="6">
        <f>(V200-V201)*360/Tool!$W$12/Tool!$W$13</f>
        <v>1440</v>
      </c>
      <c r="W202" s="18">
        <f>$Q$40*COS(RADIANS(-$V199))</f>
        <v>-421.08878564588008</v>
      </c>
      <c r="X202" s="18"/>
      <c r="Y202" s="6"/>
      <c r="Z202" s="18">
        <f>$Q$40*SIN(RADIANS(-$V199))</f>
        <v>903.02781496655928</v>
      </c>
      <c r="AA202" s="40"/>
      <c r="AB202" s="32"/>
      <c r="AC202" s="32">
        <f>AC197-25*SIN(RADIANS(Tool!$G$29-Tool!$G$22+90))</f>
        <v>-1349.914911991747</v>
      </c>
      <c r="AD202" s="46">
        <f>AD197-25*COS(RADIANS(Tool!$G$29-Tool!$G$22+90))</f>
        <v>-14945.764472850031</v>
      </c>
      <c r="AE202" s="32"/>
    </row>
    <row r="203" spans="22:31" x14ac:dyDescent="0.25">
      <c r="V203" s="6">
        <f>90-(V201*Tool!$W$14+V202+Tool!$W$15)</f>
        <v>-1380</v>
      </c>
      <c r="W203" s="18">
        <f>$Q$37*COS(RADIANS(-$V203))</f>
        <v>7.48926345853092E-12</v>
      </c>
      <c r="X203" s="18">
        <f>$Q$37*SIN(RADIANS(-$V203))</f>
        <v>-1.2971784821444555E-11</v>
      </c>
      <c r="Y203" s="6"/>
      <c r="Z203" s="6"/>
      <c r="AA203" s="40"/>
      <c r="AB203" s="32"/>
      <c r="AC203" s="32">
        <f>AC198-25/SIN(RADIANS(-Tool!G29))*SIN(RADIANS(-Tool!$G$22))</f>
        <v>1285.4266118857447</v>
      </c>
      <c r="AD203" s="46">
        <f>AD198-25/SIN(RADIANS(-Tool!G29))*COS(RADIANS(Tool!$G$22))</f>
        <v>-7.8741921372512099E-14</v>
      </c>
      <c r="AE203" s="32"/>
    </row>
    <row r="204" spans="22:31" x14ac:dyDescent="0.25">
      <c r="V204" s="6">
        <f>V200+1</f>
        <v>39</v>
      </c>
      <c r="W204" s="18">
        <f>$Q$38*COS(RADIANS(-$V203))</f>
        <v>7.48926345853092E-12</v>
      </c>
      <c r="X204" s="18">
        <f>$Q$38*SIN(RADIANS(-$V203))</f>
        <v>-1.2971784821444555E-11</v>
      </c>
      <c r="Y204" s="18">
        <f>$Q$38*SIN(RADIANS(-$V203))</f>
        <v>-1.2971784821444555E-11</v>
      </c>
      <c r="Z204" s="6"/>
      <c r="AA204" s="40"/>
      <c r="AB204" s="32"/>
      <c r="AC204" s="32">
        <f>AC199-25/SIN(RADIANS(Tool!G28))*SIN(RADIANS(-Tool!$G$22))</f>
        <v>1684.2135623730953</v>
      </c>
      <c r="AD204" s="46">
        <f>AD199-25/SIN(RADIANS(Tool!G28))*COS(RADIANS(Tool!$G$22))</f>
        <v>-1.0317058218387708E-13</v>
      </c>
      <c r="AE204" s="32"/>
    </row>
    <row r="205" spans="22:31" x14ac:dyDescent="0.25">
      <c r="V205" s="6">
        <f>MOD(V204,Tool!$W$13)</f>
        <v>0</v>
      </c>
      <c r="W205" s="18">
        <f ca="1">$Q$39*COS(RADIANS(-$V203))</f>
        <v>-99.637219320442256</v>
      </c>
      <c r="X205" s="18"/>
      <c r="Y205" s="18">
        <f ca="1">$Q$39*SIN(RADIANS(-$V203))</f>
        <v>172.57672618788925</v>
      </c>
      <c r="Z205" s="18">
        <f ca="1">$Q$39*SIN(RADIANS(-$V203))</f>
        <v>172.57672618788925</v>
      </c>
      <c r="AA205" s="40"/>
      <c r="AB205" s="32"/>
      <c r="AC205" s="32">
        <f>AC200-25*SIN(RADIANS(Tool!$G$28-Tool!$G$22-90))</f>
        <v>11583.708498984734</v>
      </c>
      <c r="AD205" s="46">
        <f>AD200-25*COS(RADIANS(Tool!$G$28-Tool!$G$22-90))</f>
        <v>9899.4949366116925</v>
      </c>
      <c r="AE205" s="32"/>
    </row>
    <row r="206" spans="22:31" x14ac:dyDescent="0.25">
      <c r="V206" s="6">
        <f>(V204-V205)*360/Tool!$W$12/Tool!$W$13</f>
        <v>1560</v>
      </c>
      <c r="W206" s="18">
        <f>$Q$40*COS(RADIANS(-$V203))</f>
        <v>-498.190475621524</v>
      </c>
      <c r="X206" s="18"/>
      <c r="Y206" s="6"/>
      <c r="Z206" s="18">
        <f>$Q$40*SIN(RADIANS(-$V203))</f>
        <v>862.89121562338312</v>
      </c>
      <c r="AA206" s="40"/>
      <c r="AB206" s="32"/>
      <c r="AC206" s="32"/>
      <c r="AD206" s="46"/>
      <c r="AE206" s="32"/>
    </row>
    <row r="207" spans="22:31" x14ac:dyDescent="0.25">
      <c r="V207" s="6">
        <f>90-(V205*Tool!$W$14+V206+Tool!$W$15)</f>
        <v>-1490</v>
      </c>
      <c r="W207" s="18">
        <f>$Q$37*COS(RADIANS(-$V207))</f>
        <v>9.6280115136436874E-12</v>
      </c>
      <c r="X207" s="18">
        <f>$Q$37*SIN(RADIANS(-$V207))</f>
        <v>1.1474217310923237E-11</v>
      </c>
      <c r="Y207" s="6"/>
      <c r="Z207" s="6"/>
      <c r="AA207" s="40"/>
      <c r="AB207" s="32"/>
      <c r="AC207" s="32">
        <f>AC202-25*SIN(RADIANS(Tool!$G$29-Tool!$G$22+90))</f>
        <v>-1325.2947181664417</v>
      </c>
      <c r="AD207" s="46">
        <f>AD202-25*COS(RADIANS(Tool!$G$29-Tool!$G$22+90))</f>
        <v>-14950.105677291704</v>
      </c>
      <c r="AE207" s="32"/>
    </row>
    <row r="208" spans="22:31" x14ac:dyDescent="0.25">
      <c r="V208" s="6"/>
      <c r="W208" s="18">
        <f>$Q$38*COS(RADIANS(-$V207))</f>
        <v>9.6280115136436874E-12</v>
      </c>
      <c r="X208" s="18">
        <f>$Q$38*SIN(RADIANS(-$V207))</f>
        <v>1.1474217310923237E-11</v>
      </c>
      <c r="Y208" s="18">
        <f>$Q$38*SIN(RADIANS(-$V207))</f>
        <v>1.1474217310923237E-11</v>
      </c>
      <c r="Z208" s="6"/>
      <c r="AA208" s="40"/>
      <c r="AB208" s="32"/>
      <c r="AC208" s="32">
        <f>AC203-25/SIN(RADIANS(-Tool!G29))*SIN(RADIANS(-Tool!$G$22))</f>
        <v>1310.8122771828882</v>
      </c>
      <c r="AD208" s="46">
        <f>AD203-25/SIN(RADIANS(-Tool!G29))*COS(RADIANS(Tool!$G$22))</f>
        <v>-8.0296981803293239E-14</v>
      </c>
      <c r="AE208" s="32"/>
    </row>
    <row r="209" spans="22:31" x14ac:dyDescent="0.25">
      <c r="V209" s="6"/>
      <c r="W209" s="18">
        <f ca="1">$Q$39*COS(RADIANS(-$V207))</f>
        <v>-128.09114008560135</v>
      </c>
      <c r="X209" s="18"/>
      <c r="Y209" s="18">
        <f ca="1">$Q$39*SIN(RADIANS(-$V207))</f>
        <v>-152.65307637650301</v>
      </c>
      <c r="Z209" s="18">
        <f ca="1">$Q$39*SIN(RADIANS(-$V207))</f>
        <v>-152.65307637650301</v>
      </c>
      <c r="AA209" s="40"/>
      <c r="AB209" s="32"/>
      <c r="AC209" s="32">
        <f>AC204-25/SIN(RADIANS(Tool!G28))*SIN(RADIANS(-Tool!$G$22))</f>
        <v>1719.5689014324228</v>
      </c>
      <c r="AD209" s="46">
        <f>AD204-25/SIN(RADIANS(Tool!G28))*COS(RADIANS(Tool!$G$22))</f>
        <v>-1.0533635913494235E-13</v>
      </c>
      <c r="AE209" s="32"/>
    </row>
    <row r="210" spans="22:31" x14ac:dyDescent="0.25">
      <c r="V210" s="6"/>
      <c r="W210" s="18">
        <f>$Q$40*COS(RADIANS(-$V207))</f>
        <v>-640.46132998672033</v>
      </c>
      <c r="X210" s="18"/>
      <c r="Y210" s="6"/>
      <c r="Z210" s="18">
        <f>$Q$40*SIN(RADIANS(-$V207))</f>
        <v>-763.27209092933674</v>
      </c>
      <c r="AA210" s="40"/>
      <c r="AB210" s="32"/>
      <c r="AC210" s="32">
        <f>AC205-25*SIN(RADIANS(Tool!$G$28-Tool!$G$22-90))</f>
        <v>11601.386168514397</v>
      </c>
      <c r="AD210" s="46">
        <f>AD205-25*COS(RADIANS(Tool!$G$28-Tool!$G$22-90))</f>
        <v>9881.8172670820295</v>
      </c>
      <c r="AE210" s="32"/>
    </row>
    <row r="211" spans="22:31" x14ac:dyDescent="0.25">
      <c r="AB211" s="32"/>
      <c r="AC211" s="32"/>
      <c r="AD211" s="32"/>
      <c r="AE211" s="32"/>
    </row>
    <row r="212" spans="22:31" x14ac:dyDescent="0.25">
      <c r="AB212" s="32"/>
      <c r="AC212" s="32">
        <f>AC207-25*SIN(RADIANS(Tool!$G$29-Tool!$G$22+90))</f>
        <v>-1300.6745243411365</v>
      </c>
      <c r="AD212" s="46">
        <f>AD207-25*COS(RADIANS(Tool!$G$29-Tool!$G$22+90))</f>
        <v>-14954.446881733376</v>
      </c>
      <c r="AE212" s="32"/>
    </row>
    <row r="213" spans="22:31" x14ac:dyDescent="0.25">
      <c r="AB213" s="32"/>
      <c r="AC213" s="32">
        <f>AC208-25/SIN(RADIANS(-Tool!G29))*SIN(RADIANS(-Tool!$G$22))</f>
        <v>1336.1979424800318</v>
      </c>
      <c r="AD213" s="46">
        <f>AD208-25/SIN(RADIANS(-Tool!G29))*COS(RADIANS(Tool!$G$22))</f>
        <v>-8.1852042234074378E-14</v>
      </c>
      <c r="AE213" s="32"/>
    </row>
    <row r="214" spans="22:31" x14ac:dyDescent="0.25">
      <c r="AB214" s="32"/>
      <c r="AC214" s="32">
        <f>AC209-25/SIN(RADIANS(Tool!G28))*SIN(RADIANS(-Tool!$G$22))</f>
        <v>1754.9242404917502</v>
      </c>
      <c r="AD214" s="46">
        <f>AD209-25/SIN(RADIANS(Tool!G28))*COS(RADIANS(Tool!$G$22))</f>
        <v>-1.0750213608600761E-13</v>
      </c>
      <c r="AE214" s="32"/>
    </row>
    <row r="215" spans="22:31" x14ac:dyDescent="0.25">
      <c r="X215" s="21"/>
      <c r="AB215" s="32"/>
      <c r="AC215" s="32">
        <f>AC210-25*SIN(RADIANS(Tool!$G$28-Tool!$G$22-90))</f>
        <v>11619.06383804406</v>
      </c>
      <c r="AD215" s="46">
        <f>AD210-25*COS(RADIANS(Tool!$G$28-Tool!$G$22-90))</f>
        <v>9864.1395975523665</v>
      </c>
      <c r="AE215" s="32"/>
    </row>
    <row r="216" spans="22:31" x14ac:dyDescent="0.25">
      <c r="AB216" s="32"/>
      <c r="AC216" s="32"/>
      <c r="AD216" s="46"/>
      <c r="AE216" s="32"/>
    </row>
    <row r="217" spans="22:31" x14ac:dyDescent="0.25">
      <c r="AB217" s="32"/>
      <c r="AC217" s="32">
        <f>AC212-25*SIN(RADIANS(Tool!$G$29-Tool!$G$22+90))</f>
        <v>-1276.0543305158312</v>
      </c>
      <c r="AD217" s="46">
        <f>AD212-25*COS(RADIANS(Tool!$G$29-Tool!$G$22+90))</f>
        <v>-14958.788086175049</v>
      </c>
      <c r="AE217" s="32"/>
    </row>
    <row r="218" spans="22:31" x14ac:dyDescent="0.25">
      <c r="AB218" s="32"/>
      <c r="AC218" s="32">
        <f>AC213-25/SIN(RADIANS(-Tool!G29))*SIN(RADIANS(-Tool!$G$22))</f>
        <v>1361.5836077771753</v>
      </c>
      <c r="AD218" s="46">
        <f>AD213-25/SIN(RADIANS(-Tool!G29))*COS(RADIANS(Tool!$G$22))</f>
        <v>-8.3407102664855517E-14</v>
      </c>
      <c r="AE218" s="32"/>
    </row>
    <row r="219" spans="22:31" x14ac:dyDescent="0.25">
      <c r="X219" s="21"/>
      <c r="AB219" s="32"/>
      <c r="AC219" s="32">
        <f>AC214-25/SIN(RADIANS(Tool!G28))*SIN(RADIANS(-Tool!$G$22))</f>
        <v>1790.2795795510776</v>
      </c>
      <c r="AD219" s="46">
        <f>AD214-25/SIN(RADIANS(Tool!G28))*COS(RADIANS(Tool!$G$22))</f>
        <v>-1.0966791303707288E-13</v>
      </c>
      <c r="AE219" s="32"/>
    </row>
    <row r="220" spans="22:31" x14ac:dyDescent="0.25">
      <c r="AB220" s="32"/>
      <c r="AC220" s="32">
        <f>AC215-25*SIN(RADIANS(Tool!$G$28-Tool!$G$22-90))</f>
        <v>11636.741507573723</v>
      </c>
      <c r="AD220" s="46">
        <f>AD215-25*COS(RADIANS(Tool!$G$28-Tool!$G$22-90))</f>
        <v>9846.4619280227034</v>
      </c>
      <c r="AE220" s="32"/>
    </row>
    <row r="221" spans="22:31" x14ac:dyDescent="0.25">
      <c r="AB221" s="32"/>
      <c r="AC221" s="32"/>
      <c r="AD221" s="46"/>
      <c r="AE221" s="32"/>
    </row>
    <row r="222" spans="22:31" x14ac:dyDescent="0.25">
      <c r="AB222" s="32"/>
      <c r="AC222" s="32">
        <f>AC217-25*SIN(RADIANS(Tool!$G$29-Tool!$G$22+90))</f>
        <v>-1251.434136690526</v>
      </c>
      <c r="AD222" s="46">
        <f>AD217-25*COS(RADIANS(Tool!$G$29-Tool!$G$22+90))</f>
        <v>-14963.129290616722</v>
      </c>
      <c r="AE222" s="32"/>
    </row>
    <row r="223" spans="22:31" x14ac:dyDescent="0.25">
      <c r="X223" s="21"/>
      <c r="AB223" s="32"/>
      <c r="AC223" s="32">
        <f>AC218-25/SIN(RADIANS(-Tool!G29))*SIN(RADIANS(-Tool!$G$22))</f>
        <v>1386.9692730743188</v>
      </c>
      <c r="AD223" s="46">
        <f>AD218-25/SIN(RADIANS(-Tool!G29))*COS(RADIANS(Tool!$G$22))</f>
        <v>-8.4962163095636656E-14</v>
      </c>
      <c r="AE223" s="32"/>
    </row>
    <row r="224" spans="22:31" x14ac:dyDescent="0.25">
      <c r="AB224" s="32"/>
      <c r="AC224" s="32">
        <f>AC219-25/SIN(RADIANS(Tool!G28))*SIN(RADIANS(-Tool!$G$22))</f>
        <v>1825.6349186104051</v>
      </c>
      <c r="AD224" s="46">
        <f>AD219-25/SIN(RADIANS(Tool!G28))*COS(RADIANS(Tool!$G$22))</f>
        <v>-1.1183368998813815E-13</v>
      </c>
      <c r="AE224" s="32"/>
    </row>
    <row r="225" spans="24:31" x14ac:dyDescent="0.25">
      <c r="AB225" s="32"/>
      <c r="AC225" s="32">
        <f>AC220-25*SIN(RADIANS(Tool!$G$28-Tool!$G$22-90))</f>
        <v>11654.419177103386</v>
      </c>
      <c r="AD225" s="46">
        <f>AD220-25*COS(RADIANS(Tool!$G$28-Tool!$G$22-90))</f>
        <v>9828.7842584930404</v>
      </c>
      <c r="AE225" s="32"/>
    </row>
    <row r="226" spans="24:31" x14ac:dyDescent="0.25">
      <c r="AB226" s="32"/>
      <c r="AC226" s="32"/>
      <c r="AD226" s="46"/>
      <c r="AE226" s="32"/>
    </row>
    <row r="227" spans="24:31" x14ac:dyDescent="0.25">
      <c r="X227" s="21"/>
      <c r="AB227" s="32"/>
      <c r="AC227" s="32">
        <f>AC222-25*SIN(RADIANS(Tool!$G$29-Tool!$G$22+90))</f>
        <v>-1226.8139428652207</v>
      </c>
      <c r="AD227" s="46">
        <f>AD222-25*COS(RADIANS(Tool!$G$29-Tool!$G$22+90))</f>
        <v>-14967.470495058395</v>
      </c>
      <c r="AE227" s="32"/>
    </row>
    <row r="228" spans="24:31" x14ac:dyDescent="0.25">
      <c r="AB228" s="32"/>
      <c r="AC228" s="32">
        <f>AC223-25/SIN(RADIANS(-Tool!G29))*SIN(RADIANS(-Tool!$G$22))</f>
        <v>1412.3549383714624</v>
      </c>
      <c r="AD228" s="46">
        <f>AD223-25/SIN(RADIANS(-Tool!G29))*COS(RADIANS(Tool!$G$22))</f>
        <v>-8.6517223526417795E-14</v>
      </c>
      <c r="AE228" s="32"/>
    </row>
    <row r="229" spans="24:31" x14ac:dyDescent="0.25">
      <c r="AB229" s="32"/>
      <c r="AC229" s="32">
        <f>AC224-25/SIN(RADIANS(Tool!G28))*SIN(RADIANS(-Tool!$G$22))</f>
        <v>1860.9902576697325</v>
      </c>
      <c r="AD229" s="46">
        <f>AD224-25/SIN(RADIANS(Tool!G28))*COS(RADIANS(Tool!$G$22))</f>
        <v>-1.1399946693920341E-13</v>
      </c>
      <c r="AE229" s="32"/>
    </row>
    <row r="230" spans="24:31" x14ac:dyDescent="0.25">
      <c r="AB230" s="32"/>
      <c r="AC230" s="32">
        <f>AC225-25*SIN(RADIANS(Tool!$G$28-Tool!$G$22-90))</f>
        <v>11672.096846633049</v>
      </c>
      <c r="AD230" s="46">
        <f>AD225-25*COS(RADIANS(Tool!$G$28-Tool!$G$22-90))</f>
        <v>9811.1065889633774</v>
      </c>
      <c r="AE230" s="32"/>
    </row>
    <row r="231" spans="24:31" x14ac:dyDescent="0.25">
      <c r="X231" s="21"/>
      <c r="AB231" s="32"/>
      <c r="AC231" s="32"/>
      <c r="AD231" s="46"/>
      <c r="AE231" s="32"/>
    </row>
    <row r="232" spans="24:31" x14ac:dyDescent="0.25">
      <c r="AB232" s="32"/>
      <c r="AC232" s="32">
        <f>AC227-25*SIN(RADIANS(Tool!$G$29-Tool!$G$22+90))</f>
        <v>-1202.1937490399155</v>
      </c>
      <c r="AD232" s="46">
        <f>AD227-25*COS(RADIANS(Tool!$G$29-Tool!$G$22+90))</f>
        <v>-14971.811699500067</v>
      </c>
      <c r="AE232" s="32"/>
    </row>
    <row r="233" spans="24:31" x14ac:dyDescent="0.25">
      <c r="AB233" s="32"/>
      <c r="AC233" s="32">
        <f>AC228-25/SIN(RADIANS(-Tool!G29))*SIN(RADIANS(-Tool!$G$22))</f>
        <v>1437.7406036686059</v>
      </c>
      <c r="AD233" s="46">
        <f>AD228-25/SIN(RADIANS(-Tool!G29))*COS(RADIANS(Tool!$G$22))</f>
        <v>-8.8072283957198934E-14</v>
      </c>
      <c r="AE233" s="32"/>
    </row>
    <row r="234" spans="24:31" x14ac:dyDescent="0.25">
      <c r="AB234" s="32"/>
      <c r="AC234" s="32">
        <f>AC229-25/SIN(RADIANS(Tool!G28))*SIN(RADIANS(-Tool!$G$22))</f>
        <v>1896.3455967290599</v>
      </c>
      <c r="AD234" s="46">
        <f>AD229-25/SIN(RADIANS(Tool!G28))*COS(RADIANS(Tool!$G$22))</f>
        <v>-1.1616524389026866E-13</v>
      </c>
      <c r="AE234" s="32"/>
    </row>
    <row r="235" spans="24:31" x14ac:dyDescent="0.25">
      <c r="X235" s="21"/>
      <c r="AB235" s="32"/>
      <c r="AC235" s="32">
        <f>AC230-25*SIN(RADIANS(Tool!$G$28-Tool!$G$22-90))</f>
        <v>11689.774516162712</v>
      </c>
      <c r="AD235" s="46">
        <f>AD230-25*COS(RADIANS(Tool!$G$28-Tool!$G$22-90))</f>
        <v>9793.4289194337143</v>
      </c>
      <c r="AE235" s="32"/>
    </row>
    <row r="236" spans="24:31" x14ac:dyDescent="0.25">
      <c r="AB236" s="32"/>
      <c r="AC236" s="32"/>
      <c r="AD236" s="32"/>
      <c r="AE236" s="32"/>
    </row>
    <row r="237" spans="24:31" x14ac:dyDescent="0.25">
      <c r="AB237" s="32"/>
      <c r="AC237" s="32">
        <f>AC232-25*SIN(RADIANS(Tool!$G$29-Tool!$G$22+90))</f>
        <v>-1177.5735552146102</v>
      </c>
      <c r="AD237" s="46">
        <f>AD232-25*COS(RADIANS(Tool!$G$29-Tool!$G$22+90))</f>
        <v>-14976.15290394174</v>
      </c>
      <c r="AE237" s="32"/>
    </row>
    <row r="238" spans="24:31" x14ac:dyDescent="0.25">
      <c r="AB238" s="32"/>
      <c r="AC238" s="32">
        <f>AC233-25/SIN(RADIANS(-Tool!G29))*SIN(RADIANS(-Tool!$G$22))</f>
        <v>1463.1262689657494</v>
      </c>
      <c r="AD238" s="46">
        <f>AD233-25/SIN(RADIANS(-Tool!G29))*COS(RADIANS(Tool!$G$22))</f>
        <v>-8.9627344387980073E-14</v>
      </c>
      <c r="AE238" s="32"/>
    </row>
    <row r="239" spans="24:31" x14ac:dyDescent="0.25">
      <c r="X239" s="21"/>
      <c r="AB239" s="32"/>
      <c r="AC239" s="32">
        <f>AC234-25/SIN(RADIANS(Tool!G28))*SIN(RADIANS(-Tool!$G$22))</f>
        <v>1931.7009357883874</v>
      </c>
      <c r="AD239" s="46">
        <f>AD234-25/SIN(RADIANS(Tool!G28))*COS(RADIANS(Tool!$G$22))</f>
        <v>-1.1833102084133392E-13</v>
      </c>
      <c r="AE239" s="32"/>
    </row>
    <row r="240" spans="24:31" x14ac:dyDescent="0.25">
      <c r="AB240" s="32"/>
      <c r="AC240" s="32">
        <f>AC235-25*SIN(RADIANS(Tool!$G$28-Tool!$G$22-90))</f>
        <v>11707.452185692375</v>
      </c>
      <c r="AD240" s="46">
        <f>AD235-25*COS(RADIANS(Tool!$G$28-Tool!$G$22-90))</f>
        <v>9775.7512499040513</v>
      </c>
      <c r="AE240" s="32"/>
    </row>
    <row r="241" spans="24:31" x14ac:dyDescent="0.25">
      <c r="AB241" s="32"/>
      <c r="AC241" s="32"/>
      <c r="AD241" s="46"/>
      <c r="AE241" s="32"/>
    </row>
    <row r="242" spans="24:31" x14ac:dyDescent="0.25">
      <c r="AB242" s="32"/>
      <c r="AC242" s="32">
        <f>AC237-25*SIN(RADIANS(Tool!$G$29-Tool!$G$22+90))</f>
        <v>-1152.953361389305</v>
      </c>
      <c r="AD242" s="46">
        <f>AD237-25*COS(RADIANS(Tool!$G$29-Tool!$G$22+90))</f>
        <v>-14980.494108383413</v>
      </c>
      <c r="AE242" s="32"/>
    </row>
    <row r="243" spans="24:31" x14ac:dyDescent="0.25">
      <c r="X243" s="21"/>
      <c r="AB243" s="32"/>
      <c r="AC243" s="32">
        <f>AC238-25/SIN(RADIANS(-Tool!G29))*SIN(RADIANS(-Tool!$G$22))</f>
        <v>1488.511934262893</v>
      </c>
      <c r="AD243" s="46">
        <f>AD238-25/SIN(RADIANS(-Tool!G29))*COS(RADIANS(Tool!$G$22))</f>
        <v>-9.1182404818761213E-14</v>
      </c>
      <c r="AE243" s="32"/>
    </row>
    <row r="244" spans="24:31" x14ac:dyDescent="0.25">
      <c r="AB244" s="32"/>
      <c r="AC244" s="32">
        <f>AC239-25/SIN(RADIANS(Tool!G28))*SIN(RADIANS(-Tool!$G$22))</f>
        <v>1967.0562748477148</v>
      </c>
      <c r="AD244" s="46">
        <f>AD239-25/SIN(RADIANS(Tool!G28))*COS(RADIANS(Tool!$G$22))</f>
        <v>-1.2049679779239917E-13</v>
      </c>
      <c r="AE244" s="32"/>
    </row>
    <row r="245" spans="24:31" x14ac:dyDescent="0.25">
      <c r="AB245" s="32"/>
      <c r="AC245" s="32">
        <f>AC240-25*SIN(RADIANS(Tool!$G$28-Tool!$G$22-90))</f>
        <v>11725.129855222038</v>
      </c>
      <c r="AD245" s="46">
        <f>AD240-25*COS(RADIANS(Tool!$G$28-Tool!$G$22-90))</f>
        <v>9758.0735803743883</v>
      </c>
      <c r="AE245" s="32"/>
    </row>
    <row r="246" spans="24:31" x14ac:dyDescent="0.25">
      <c r="AB246" s="32"/>
      <c r="AC246" s="32"/>
      <c r="AD246" s="46"/>
      <c r="AE246" s="32"/>
    </row>
    <row r="247" spans="24:31" x14ac:dyDescent="0.25">
      <c r="AB247" s="32"/>
      <c r="AC247" s="32">
        <f>AC242-25*SIN(RADIANS(Tool!$G$29-Tool!$G$22+90))</f>
        <v>-1128.3331675639997</v>
      </c>
      <c r="AD247" s="46">
        <f>AD242-25*COS(RADIANS(Tool!$G$29-Tool!$G$22+90))</f>
        <v>-14984.835312825086</v>
      </c>
      <c r="AE247" s="32"/>
    </row>
    <row r="248" spans="24:31" x14ac:dyDescent="0.25">
      <c r="AB248" s="32"/>
      <c r="AC248" s="32">
        <f>AC243-25/SIN(RADIANS(-Tool!G29))*SIN(RADIANS(-Tool!$G$22))</f>
        <v>1513.8975995600365</v>
      </c>
      <c r="AD248" s="46">
        <f>AD243-25/SIN(RADIANS(-Tool!G29))*COS(RADIANS(Tool!$G$22))</f>
        <v>-9.2737465249542352E-14</v>
      </c>
      <c r="AE248" s="32"/>
    </row>
    <row r="249" spans="24:31" x14ac:dyDescent="0.25">
      <c r="AB249" s="32"/>
      <c r="AC249" s="32">
        <f>AC244-25/SIN(RADIANS(Tool!G28))*SIN(RADIANS(-Tool!$G$22))</f>
        <v>2002.4116139070422</v>
      </c>
      <c r="AD249" s="46">
        <f>AD244-25/SIN(RADIANS(Tool!G28))*COS(RADIANS(Tool!$G$22))</f>
        <v>-1.2266257474346443E-13</v>
      </c>
      <c r="AE249" s="32"/>
    </row>
    <row r="250" spans="24:31" x14ac:dyDescent="0.25">
      <c r="AB250" s="32"/>
      <c r="AC250" s="32">
        <f>AC245-25*SIN(RADIANS(Tool!$G$28-Tool!$G$22-90))</f>
        <v>11742.807524751701</v>
      </c>
      <c r="AD250" s="46">
        <f>AD245-25*COS(RADIANS(Tool!$G$28-Tool!$G$22-90))</f>
        <v>9740.3959108447252</v>
      </c>
      <c r="AE250" s="32"/>
    </row>
    <row r="251" spans="24:31" x14ac:dyDescent="0.25">
      <c r="AB251" s="32"/>
      <c r="AC251" s="32"/>
      <c r="AD251" s="46"/>
      <c r="AE251" s="32"/>
    </row>
    <row r="252" spans="24:31" x14ac:dyDescent="0.25">
      <c r="AB252" s="32"/>
      <c r="AC252" s="32">
        <f>AC247-25*SIN(RADIANS(Tool!$G$29-Tool!$G$22+90))</f>
        <v>-1103.7129737386945</v>
      </c>
      <c r="AD252" s="46">
        <f>AD247-25*COS(RADIANS(Tool!$G$29-Tool!$G$22+90))</f>
        <v>-14989.176517266758</v>
      </c>
      <c r="AE252" s="32"/>
    </row>
    <row r="253" spans="24:31" x14ac:dyDescent="0.25">
      <c r="AB253" s="32"/>
      <c r="AC253" s="32">
        <f>AC248-25/SIN(RADIANS(-Tool!G29))*SIN(RADIANS(-Tool!$G$22))</f>
        <v>1539.28326485718</v>
      </c>
      <c r="AD253" s="46">
        <f>AD248-25/SIN(RADIANS(-Tool!G29))*COS(RADIANS(Tool!$G$22))</f>
        <v>-9.4292525680323491E-14</v>
      </c>
      <c r="AE253" s="32"/>
    </row>
    <row r="254" spans="24:31" x14ac:dyDescent="0.25">
      <c r="AB254" s="32"/>
      <c r="AC254" s="32">
        <f>AC249-25/SIN(RADIANS(Tool!G28))*SIN(RADIANS(-Tool!$G$22))</f>
        <v>2037.7669529663697</v>
      </c>
      <c r="AD254" s="46">
        <f>AD249-25/SIN(RADIANS(Tool!G28))*COS(RADIANS(Tool!$G$22))</f>
        <v>-1.2482835169452969E-13</v>
      </c>
      <c r="AE254" s="32"/>
    </row>
    <row r="255" spans="24:31" x14ac:dyDescent="0.25">
      <c r="AB255" s="32"/>
      <c r="AC255" s="32">
        <f>AC250-25*SIN(RADIANS(Tool!$G$28-Tool!$G$22-90))</f>
        <v>11760.485194281364</v>
      </c>
      <c r="AD255" s="46">
        <f>AD250-25*COS(RADIANS(Tool!$G$28-Tool!$G$22-90))</f>
        <v>9722.7182413150622</v>
      </c>
      <c r="AE255" s="32"/>
    </row>
    <row r="256" spans="24:31" x14ac:dyDescent="0.25">
      <c r="AB256" s="32"/>
      <c r="AC256" s="32"/>
      <c r="AD256" s="46"/>
      <c r="AE256" s="32"/>
    </row>
    <row r="257" spans="28:31" x14ac:dyDescent="0.25">
      <c r="AB257" s="32"/>
      <c r="AC257" s="32">
        <f>AC252-25*SIN(RADIANS(Tool!$G$29-Tool!$G$22+90))</f>
        <v>-1079.0927799133892</v>
      </c>
      <c r="AD257" s="46">
        <f>AD252-25*COS(RADIANS(Tool!$G$29-Tool!$G$22+90))</f>
        <v>-14993.517721708431</v>
      </c>
      <c r="AE257" s="32"/>
    </row>
    <row r="258" spans="28:31" x14ac:dyDescent="0.25">
      <c r="AB258" s="32"/>
      <c r="AC258" s="32">
        <f>AC253-25/SIN(RADIANS(-Tool!G29))*SIN(RADIANS(-Tool!$G$22))</f>
        <v>1564.6689301543236</v>
      </c>
      <c r="AD258" s="46">
        <f>AD253-25/SIN(RADIANS(-Tool!G29))*COS(RADIANS(Tool!$G$22))</f>
        <v>-9.584758611110463E-14</v>
      </c>
      <c r="AE258" s="32"/>
    </row>
    <row r="259" spans="28:31" x14ac:dyDescent="0.25">
      <c r="AB259" s="32"/>
      <c r="AC259" s="32">
        <f>AC254-25/SIN(RADIANS(Tool!G28))*SIN(RADIANS(-Tool!$G$22))</f>
        <v>2073.1222920256969</v>
      </c>
      <c r="AD259" s="46">
        <f>AD254-25/SIN(RADIANS(Tool!G28))*COS(RADIANS(Tool!$G$22))</f>
        <v>-1.2699412864559494E-13</v>
      </c>
      <c r="AE259" s="32"/>
    </row>
    <row r="260" spans="28:31" x14ac:dyDescent="0.25">
      <c r="AB260" s="32"/>
      <c r="AC260" s="32">
        <f>AC255-25*SIN(RADIANS(Tool!$G$28-Tool!$G$22-90))</f>
        <v>11778.162863811027</v>
      </c>
      <c r="AD260" s="46">
        <f>AD255-25*COS(RADIANS(Tool!$G$28-Tool!$G$22-90))</f>
        <v>9705.0405717853992</v>
      </c>
      <c r="AE260" s="32"/>
    </row>
    <row r="261" spans="28:31" x14ac:dyDescent="0.25">
      <c r="AB261" s="32"/>
      <c r="AC261" s="32"/>
      <c r="AD261" s="32"/>
      <c r="AE261" s="32"/>
    </row>
    <row r="262" spans="28:31" x14ac:dyDescent="0.25">
      <c r="AB262" s="32"/>
      <c r="AC262" s="32">
        <f>AC257-25*SIN(RADIANS(Tool!$G$29-Tool!$G$22+90))</f>
        <v>-1054.472586088084</v>
      </c>
      <c r="AD262" s="46">
        <f>AD257-25*COS(RADIANS(Tool!$G$29-Tool!$G$22+90))</f>
        <v>-14997.858926150104</v>
      </c>
      <c r="AE262" s="32"/>
    </row>
    <row r="263" spans="28:31" x14ac:dyDescent="0.25">
      <c r="AB263" s="32"/>
      <c r="AC263" s="32">
        <f>AC258-25/SIN(RADIANS(-Tool!G29))*SIN(RADIANS(-Tool!$G$22))</f>
        <v>1590.0545954514671</v>
      </c>
      <c r="AD263" s="46">
        <f>AD258-25/SIN(RADIANS(-Tool!G29))*COS(RADIANS(Tool!$G$22))</f>
        <v>-9.7402646541885769E-14</v>
      </c>
      <c r="AE263" s="32"/>
    </row>
    <row r="264" spans="28:31" x14ac:dyDescent="0.25">
      <c r="AB264" s="32"/>
      <c r="AC264" s="32">
        <f>AC259-25/SIN(RADIANS(Tool!G28))*SIN(RADIANS(-Tool!$G$22))</f>
        <v>2108.4776310850243</v>
      </c>
      <c r="AD264" s="46">
        <f>AD259-25/SIN(RADIANS(Tool!G28))*COS(RADIANS(Tool!$G$22))</f>
        <v>-1.291599055966602E-13</v>
      </c>
      <c r="AE264" s="32"/>
    </row>
    <row r="265" spans="28:31" x14ac:dyDescent="0.25">
      <c r="AB265" s="32"/>
      <c r="AC265" s="32">
        <f>AC260-25*SIN(RADIANS(Tool!$G$28-Tool!$G$22-90))</f>
        <v>11795.84053334069</v>
      </c>
      <c r="AD265" s="46">
        <f>AD260-25*COS(RADIANS(Tool!$G$28-Tool!$G$22-90))</f>
        <v>9687.3629022557361</v>
      </c>
      <c r="AE265" s="32"/>
    </row>
    <row r="266" spans="28:31" x14ac:dyDescent="0.25">
      <c r="AB266" s="32"/>
      <c r="AC266" s="32"/>
      <c r="AD266" s="46"/>
      <c r="AE266" s="32"/>
    </row>
    <row r="267" spans="28:31" x14ac:dyDescent="0.25">
      <c r="AB267" s="32"/>
      <c r="AC267" s="32">
        <f>AC262-25*SIN(RADIANS(Tool!$G$29-Tool!$G$22+90))</f>
        <v>-1029.8523922627787</v>
      </c>
      <c r="AD267" s="46">
        <f>AD262-25*COS(RADIANS(Tool!$G$29-Tool!$G$22+90))</f>
        <v>-15002.200130591777</v>
      </c>
      <c r="AE267" s="32"/>
    </row>
    <row r="268" spans="28:31" x14ac:dyDescent="0.25">
      <c r="AB268" s="32"/>
      <c r="AC268" s="32">
        <f>AC263-25/SIN(RADIANS(-Tool!G29))*SIN(RADIANS(-Tool!$G$22))</f>
        <v>1615.4402607486106</v>
      </c>
      <c r="AD268" s="46">
        <f>AD263-25/SIN(RADIANS(-Tool!G29))*COS(RADIANS(Tool!$G$22))</f>
        <v>-9.8957706972666908E-14</v>
      </c>
      <c r="AE268" s="32"/>
    </row>
    <row r="269" spans="28:31" x14ac:dyDescent="0.25">
      <c r="AB269" s="32"/>
      <c r="AC269" s="32">
        <f>AC264-25/SIN(RADIANS(Tool!G28))*SIN(RADIANS(-Tool!$G$22))</f>
        <v>2143.8329701443517</v>
      </c>
      <c r="AD269" s="46">
        <f>AD264-25/SIN(RADIANS(Tool!G28))*COS(RADIANS(Tool!$G$22))</f>
        <v>-1.3132568254772545E-13</v>
      </c>
      <c r="AE269" s="32"/>
    </row>
    <row r="270" spans="28:31" x14ac:dyDescent="0.25">
      <c r="AB270" s="32"/>
      <c r="AC270" s="32">
        <f>AC265-25*SIN(RADIANS(Tool!$G$28-Tool!$G$22-90))</f>
        <v>11813.518202870353</v>
      </c>
      <c r="AD270" s="46">
        <f>AD265-25*COS(RADIANS(Tool!$G$28-Tool!$G$22-90))</f>
        <v>9669.6852327260731</v>
      </c>
      <c r="AE270" s="32"/>
    </row>
    <row r="271" spans="28:31" x14ac:dyDescent="0.25">
      <c r="AB271" s="32"/>
      <c r="AC271" s="32"/>
      <c r="AD271" s="46"/>
      <c r="AE271" s="32"/>
    </row>
    <row r="272" spans="28:31" x14ac:dyDescent="0.25">
      <c r="AB272" s="32"/>
      <c r="AC272" s="32">
        <f>AC267-25*SIN(RADIANS(Tool!$G$29-Tool!$G$22+90))</f>
        <v>-1005.2321984374735</v>
      </c>
      <c r="AD272" s="46">
        <f>AD267-25*COS(RADIANS(Tool!$G$29-Tool!$G$22+90))</f>
        <v>-15006.541335033449</v>
      </c>
      <c r="AE272" s="32"/>
    </row>
    <row r="273" spans="28:31" x14ac:dyDescent="0.25">
      <c r="AB273" s="32"/>
      <c r="AC273" s="32">
        <f>AC268-25/SIN(RADIANS(-Tool!G29))*SIN(RADIANS(-Tool!$G$22))</f>
        <v>1640.8259260457542</v>
      </c>
      <c r="AD273" s="46">
        <f>AD268-25/SIN(RADIANS(-Tool!G29))*COS(RADIANS(Tool!$G$22))</f>
        <v>-1.0051276740344805E-13</v>
      </c>
      <c r="AE273" s="32"/>
    </row>
    <row r="274" spans="28:31" x14ac:dyDescent="0.25">
      <c r="AB274" s="32"/>
      <c r="AC274" s="32">
        <f>AC269-25/SIN(RADIANS(Tool!G28))*SIN(RADIANS(-Tool!$G$22))</f>
        <v>2179.1883092036792</v>
      </c>
      <c r="AD274" s="46">
        <f>AD269-25/SIN(RADIANS(Tool!G28))*COS(RADIANS(Tool!$G$22))</f>
        <v>-1.3349145949879071E-13</v>
      </c>
      <c r="AE274" s="32"/>
    </row>
    <row r="275" spans="28:31" x14ac:dyDescent="0.25">
      <c r="AB275" s="32"/>
      <c r="AC275" s="32">
        <f>AC270-25*SIN(RADIANS(Tool!$G$28-Tool!$G$22-90))</f>
        <v>11831.195872400016</v>
      </c>
      <c r="AD275" s="46">
        <f>AD270-25*COS(RADIANS(Tool!$G$28-Tool!$G$22-90))</f>
        <v>9652.00756319641</v>
      </c>
      <c r="AE275" s="32"/>
    </row>
    <row r="276" spans="28:31" x14ac:dyDescent="0.25">
      <c r="AB276" s="32"/>
      <c r="AC276" s="32"/>
      <c r="AD276" s="46"/>
      <c r="AE276" s="32"/>
    </row>
    <row r="277" spans="28:31" x14ac:dyDescent="0.25">
      <c r="AB277" s="32"/>
      <c r="AC277" s="32">
        <f>AC272-25*SIN(RADIANS(Tool!$G$29-Tool!$G$22+90))</f>
        <v>-980.61200461216822</v>
      </c>
      <c r="AD277" s="46">
        <f>AD272-25*COS(RADIANS(Tool!$G$29-Tool!$G$22+90))</f>
        <v>-15010.882539475122</v>
      </c>
      <c r="AE277" s="32"/>
    </row>
    <row r="278" spans="28:31" x14ac:dyDescent="0.25">
      <c r="AB278" s="32"/>
      <c r="AC278" s="32">
        <f>AC273-25/SIN(RADIANS(-Tool!G29))*SIN(RADIANS(-Tool!$G$22))</f>
        <v>1666.2115913428977</v>
      </c>
      <c r="AD278" s="46">
        <f>AD273-25/SIN(RADIANS(-Tool!G29))*COS(RADIANS(Tool!$G$22))</f>
        <v>-1.0206782783422919E-13</v>
      </c>
      <c r="AE278" s="32"/>
    </row>
    <row r="279" spans="28:31" x14ac:dyDescent="0.25">
      <c r="AB279" s="32"/>
      <c r="AC279" s="32">
        <f>AC274-25/SIN(RADIANS(Tool!G28))*SIN(RADIANS(-Tool!$G$22))</f>
        <v>2214.5436482630066</v>
      </c>
      <c r="AD279" s="46">
        <f>AD274-25/SIN(RADIANS(Tool!G28))*COS(RADIANS(Tool!$G$22))</f>
        <v>-1.3565723644985596E-13</v>
      </c>
      <c r="AE279" s="32"/>
    </row>
    <row r="280" spans="28:31" x14ac:dyDescent="0.25">
      <c r="AB280" s="32"/>
      <c r="AC280" s="32">
        <f>AC275-25*SIN(RADIANS(Tool!$G$28-Tool!$G$22-90))</f>
        <v>11848.873541929679</v>
      </c>
      <c r="AD280" s="46">
        <f>AD275-25*COS(RADIANS(Tool!$G$28-Tool!$G$22-90))</f>
        <v>9634.329893666747</v>
      </c>
      <c r="AE280" s="32"/>
    </row>
    <row r="281" spans="28:31" x14ac:dyDescent="0.25">
      <c r="AB281" s="32"/>
      <c r="AC281" s="32"/>
      <c r="AD281" s="46"/>
      <c r="AE281" s="32"/>
    </row>
    <row r="282" spans="28:31" x14ac:dyDescent="0.25">
      <c r="AB282" s="32"/>
      <c r="AC282" s="32">
        <f>AC277-25*SIN(RADIANS(Tool!$G$29-Tool!$G$22+90))</f>
        <v>-955.99181078686297</v>
      </c>
      <c r="AD282" s="46">
        <f>AD277-25*COS(RADIANS(Tool!$G$29-Tool!$G$22+90))</f>
        <v>-15015.223743916795</v>
      </c>
      <c r="AE282" s="32"/>
    </row>
    <row r="283" spans="28:31" x14ac:dyDescent="0.25">
      <c r="AB283" s="32"/>
      <c r="AC283" s="32">
        <f>AC278-25/SIN(RADIANS(-Tool!G29))*SIN(RADIANS(-Tool!$G$22))</f>
        <v>1691.5972566400412</v>
      </c>
      <c r="AD283" s="46">
        <f>AD278-25/SIN(RADIANS(-Tool!G29))*COS(RADIANS(Tool!$G$22))</f>
        <v>-1.0362288826501033E-13</v>
      </c>
      <c r="AE283" s="32"/>
    </row>
    <row r="284" spans="28:31" x14ac:dyDescent="0.25">
      <c r="AB284" s="32"/>
      <c r="AC284" s="32">
        <f>AC279-25/SIN(RADIANS(Tool!G28))*SIN(RADIANS(-Tool!$G$22))</f>
        <v>2249.8989873223341</v>
      </c>
      <c r="AD284" s="46">
        <f>AD279-25/SIN(RADIANS(Tool!G28))*COS(RADIANS(Tool!$G$22))</f>
        <v>-1.3782301340092122E-13</v>
      </c>
      <c r="AE284" s="32"/>
    </row>
    <row r="285" spans="28:31" x14ac:dyDescent="0.25">
      <c r="AB285" s="32"/>
      <c r="AC285" s="32">
        <f>AC280-25*SIN(RADIANS(Tool!$G$28-Tool!$G$22-90))</f>
        <v>11866.551211459342</v>
      </c>
      <c r="AD285" s="46">
        <f>AD280-25*COS(RADIANS(Tool!$G$28-Tool!$G$22-90))</f>
        <v>9616.652224137084</v>
      </c>
      <c r="AE285" s="32"/>
    </row>
    <row r="286" spans="28:31" x14ac:dyDescent="0.25">
      <c r="AB286" s="32"/>
      <c r="AC286" s="32"/>
      <c r="AD286" s="32"/>
      <c r="AE286" s="32"/>
    </row>
    <row r="287" spans="28:31" x14ac:dyDescent="0.25">
      <c r="AB287" s="32"/>
      <c r="AC287" s="32">
        <f>AC282-25*SIN(RADIANS(Tool!$G$29-Tool!$G$22+90))</f>
        <v>-931.37161696155772</v>
      </c>
      <c r="AD287" s="46">
        <f>AD282-25*COS(RADIANS(Tool!$G$29-Tool!$G$22+90))</f>
        <v>-15019.564948358468</v>
      </c>
      <c r="AE287" s="32"/>
    </row>
    <row r="288" spans="28:31" x14ac:dyDescent="0.25">
      <c r="AB288" s="32"/>
      <c r="AC288" s="32">
        <f>AC283-25/SIN(RADIANS(-Tool!G29))*SIN(RADIANS(-Tool!$G$22))</f>
        <v>1716.9829219371848</v>
      </c>
      <c r="AD288" s="46">
        <f>AD283-25/SIN(RADIANS(-Tool!G29))*COS(RADIANS(Tool!$G$22))</f>
        <v>-1.0517794869579146E-13</v>
      </c>
      <c r="AE288" s="32"/>
    </row>
    <row r="289" spans="28:31" x14ac:dyDescent="0.25">
      <c r="AB289" s="32"/>
      <c r="AC289" s="32">
        <f>AC284-25/SIN(RADIANS(Tool!G28))*SIN(RADIANS(-Tool!$G$22))</f>
        <v>2285.2543263816615</v>
      </c>
      <c r="AD289" s="46">
        <f>AD284-25/SIN(RADIANS(Tool!G28))*COS(RADIANS(Tool!$G$22))</f>
        <v>-1.3998879035198647E-13</v>
      </c>
      <c r="AE289" s="32"/>
    </row>
    <row r="290" spans="28:31" x14ac:dyDescent="0.25">
      <c r="AB290" s="32"/>
      <c r="AC290" s="32">
        <f>AC285-25*SIN(RADIANS(Tool!$G$28-Tool!$G$22-90))</f>
        <v>11884.228880989005</v>
      </c>
      <c r="AD290" s="46">
        <f>AD285-25*COS(RADIANS(Tool!$G$28-Tool!$G$22-90))</f>
        <v>9598.9745546074209</v>
      </c>
      <c r="AE290" s="32"/>
    </row>
    <row r="291" spans="28:31" x14ac:dyDescent="0.25">
      <c r="AB291" s="32"/>
      <c r="AC291" s="32"/>
      <c r="AD291" s="46"/>
      <c r="AE291" s="32"/>
    </row>
    <row r="292" spans="28:31" x14ac:dyDescent="0.25">
      <c r="AB292" s="32"/>
      <c r="AC292" s="32">
        <f>AC287-25*SIN(RADIANS(Tool!$G$29-Tool!$G$22+90))</f>
        <v>-906.75142313625247</v>
      </c>
      <c r="AD292" s="46">
        <f>AD287-25*COS(RADIANS(Tool!$G$29-Tool!$G$22+90))</f>
        <v>-15023.90615280014</v>
      </c>
      <c r="AE292" s="32"/>
    </row>
    <row r="293" spans="28:31" x14ac:dyDescent="0.25">
      <c r="AB293" s="32"/>
      <c r="AC293" s="32">
        <f>AC288-25/SIN(RADIANS(-Tool!G29))*SIN(RADIANS(-Tool!$G$22))</f>
        <v>1742.3685872343283</v>
      </c>
      <c r="AD293" s="46">
        <f>AD288-25/SIN(RADIANS(-Tool!G29))*COS(RADIANS(Tool!$G$22))</f>
        <v>-1.067330091265726E-13</v>
      </c>
      <c r="AE293" s="32"/>
    </row>
    <row r="294" spans="28:31" x14ac:dyDescent="0.25">
      <c r="AB294" s="32"/>
      <c r="AC294" s="32">
        <f>AC289-25/SIN(RADIANS(Tool!G28))*SIN(RADIANS(-Tool!$G$22))</f>
        <v>2320.6096654409889</v>
      </c>
      <c r="AD294" s="46">
        <f>AD289-25/SIN(RADIANS(Tool!G28))*COS(RADIANS(Tool!$G$22))</f>
        <v>-1.4215456730305173E-13</v>
      </c>
      <c r="AE294" s="32"/>
    </row>
    <row r="295" spans="28:31" x14ac:dyDescent="0.25">
      <c r="AB295" s="32"/>
      <c r="AC295" s="32">
        <f>AC290-25*SIN(RADIANS(Tool!$G$28-Tool!$G$22-90))</f>
        <v>11901.906550518668</v>
      </c>
      <c r="AD295" s="46">
        <f>AD290-25*COS(RADIANS(Tool!$G$28-Tool!$G$22-90))</f>
        <v>9581.2968850777579</v>
      </c>
      <c r="AE295" s="32"/>
    </row>
    <row r="296" spans="28:31" x14ac:dyDescent="0.25">
      <c r="AB296" s="32"/>
      <c r="AC296" s="32"/>
      <c r="AD296" s="46"/>
      <c r="AE296" s="32"/>
    </row>
    <row r="297" spans="28:31" x14ac:dyDescent="0.25">
      <c r="AB297" s="32"/>
      <c r="AC297" s="32">
        <f>AC292-25*SIN(RADIANS(Tool!$G$29-Tool!$G$22+90))</f>
        <v>-882.13122931094722</v>
      </c>
      <c r="AD297" s="46">
        <f>AD292-25*COS(RADIANS(Tool!$G$29-Tool!$G$22+90))</f>
        <v>-15028.247357241813</v>
      </c>
      <c r="AE297" s="32"/>
    </row>
    <row r="298" spans="28:31" x14ac:dyDescent="0.25">
      <c r="AB298" s="32"/>
      <c r="AC298" s="32">
        <f>AC293-25/SIN(RADIANS(-Tool!G29))*SIN(RADIANS(-Tool!$G$22))</f>
        <v>1767.7542525314718</v>
      </c>
      <c r="AD298" s="46">
        <f>AD293-25/SIN(RADIANS(-Tool!G29))*COS(RADIANS(Tool!$G$22))</f>
        <v>-1.0828806955735374E-13</v>
      </c>
      <c r="AE298" s="32"/>
    </row>
    <row r="299" spans="28:31" x14ac:dyDescent="0.25">
      <c r="AB299" s="32"/>
      <c r="AC299" s="32">
        <f>AC294-25/SIN(RADIANS(Tool!G28))*SIN(RADIANS(-Tool!$G$22))</f>
        <v>2355.9650045003164</v>
      </c>
      <c r="AD299" s="46">
        <f>AD294-25/SIN(RADIANS(Tool!G28))*COS(RADIANS(Tool!$G$22))</f>
        <v>-1.4432034425411699E-13</v>
      </c>
      <c r="AE299" s="32"/>
    </row>
    <row r="300" spans="28:31" x14ac:dyDescent="0.25">
      <c r="AB300" s="32"/>
      <c r="AC300" s="32">
        <f>AC295-25*SIN(RADIANS(Tool!$G$28-Tool!$G$22-90))</f>
        <v>11919.584220048331</v>
      </c>
      <c r="AD300" s="46">
        <f>AD295-25*COS(RADIANS(Tool!$G$28-Tool!$G$22-90))</f>
        <v>9563.6192155480949</v>
      </c>
      <c r="AE300" s="32"/>
    </row>
    <row r="301" spans="28:31" x14ac:dyDescent="0.25">
      <c r="AB301" s="32"/>
      <c r="AC301" s="32"/>
      <c r="AD301" s="46"/>
      <c r="AE301" s="32"/>
    </row>
    <row r="302" spans="28:31" x14ac:dyDescent="0.25">
      <c r="AB302" s="32"/>
      <c r="AC302" s="32">
        <f>AC297-25*SIN(RADIANS(Tool!$G$29-Tool!$G$22+90))</f>
        <v>-857.51103548564197</v>
      </c>
      <c r="AD302" s="46">
        <f>AD297-25*COS(RADIANS(Tool!$G$29-Tool!$G$22+90))</f>
        <v>-15032.588561683486</v>
      </c>
      <c r="AE302" s="32"/>
    </row>
    <row r="303" spans="28:31" x14ac:dyDescent="0.25">
      <c r="AB303" s="32"/>
      <c r="AC303" s="32">
        <f>AC298-25/SIN(RADIANS(-Tool!G29))*SIN(RADIANS(-Tool!$G$22))</f>
        <v>1793.1399178286154</v>
      </c>
      <c r="AD303" s="46">
        <f>AD298-25/SIN(RADIANS(-Tool!G29))*COS(RADIANS(Tool!$G$22))</f>
        <v>-1.0984312998813488E-13</v>
      </c>
      <c r="AE303" s="32"/>
    </row>
    <row r="304" spans="28:31" x14ac:dyDescent="0.25">
      <c r="AB304" s="32"/>
      <c r="AC304" s="32">
        <f>AC299-25/SIN(RADIANS(Tool!G28))*SIN(RADIANS(-Tool!$G$22))</f>
        <v>2391.3203435596438</v>
      </c>
      <c r="AD304" s="46">
        <f>AD299-25/SIN(RADIANS(Tool!G28))*COS(RADIANS(Tool!$G$22))</f>
        <v>-1.4648612120518224E-13</v>
      </c>
      <c r="AE304" s="32"/>
    </row>
    <row r="305" spans="28:31" x14ac:dyDescent="0.25">
      <c r="AB305" s="32"/>
      <c r="AC305" s="32">
        <f>AC300-25*SIN(RADIANS(Tool!$G$28-Tool!$G$22-90))</f>
        <v>11937.261889577994</v>
      </c>
      <c r="AD305" s="46">
        <f>AD300-25*COS(RADIANS(Tool!$G$28-Tool!$G$22-90))</f>
        <v>9545.9415460184318</v>
      </c>
      <c r="AE305" s="32"/>
    </row>
    <row r="306" spans="28:31" x14ac:dyDescent="0.25">
      <c r="AB306" s="32"/>
      <c r="AC306" s="32"/>
      <c r="AD306" s="46"/>
      <c r="AE306" s="32"/>
    </row>
    <row r="307" spans="28:31" x14ac:dyDescent="0.25">
      <c r="AB307" s="32"/>
      <c r="AC307" s="32">
        <f>AC302-25*SIN(RADIANS(Tool!$G$29-Tool!$G$22+90))</f>
        <v>-832.89084166033672</v>
      </c>
      <c r="AD307" s="46">
        <f>AD302-25*COS(RADIANS(Tool!$G$29-Tool!$G$22+90))</f>
        <v>-15036.929766125158</v>
      </c>
      <c r="AE307" s="32"/>
    </row>
    <row r="308" spans="28:31" x14ac:dyDescent="0.25">
      <c r="AB308" s="32"/>
      <c r="AC308" s="32">
        <f>AC303-25/SIN(RADIANS(-Tool!G29))*SIN(RADIANS(-Tool!$G$22))</f>
        <v>1818.5255831257589</v>
      </c>
      <c r="AD308" s="46">
        <f>AD303-25/SIN(RADIANS(-Tool!G29))*COS(RADIANS(Tool!$G$22))</f>
        <v>-1.1139819041891602E-13</v>
      </c>
      <c r="AE308" s="32"/>
    </row>
    <row r="309" spans="28:31" x14ac:dyDescent="0.25">
      <c r="AB309" s="32"/>
      <c r="AC309" s="32">
        <f>AC304-25/SIN(RADIANS(Tool!G28))*SIN(RADIANS(-Tool!$G$22))</f>
        <v>2426.6756826189712</v>
      </c>
      <c r="AD309" s="46">
        <f>AD304-25/SIN(RADIANS(Tool!G28))*COS(RADIANS(Tool!$G$22))</f>
        <v>-1.486518981562475E-13</v>
      </c>
      <c r="AE309" s="32"/>
    </row>
    <row r="310" spans="28:31" x14ac:dyDescent="0.25">
      <c r="AB310" s="32"/>
      <c r="AC310" s="32">
        <f>AC305-25*SIN(RADIANS(Tool!$G$28-Tool!$G$22-90))</f>
        <v>11954.939559107657</v>
      </c>
      <c r="AD310" s="46">
        <f>AD305-25*COS(RADIANS(Tool!$G$28-Tool!$G$22-90))</f>
        <v>9528.2638764887688</v>
      </c>
      <c r="AE310" s="32"/>
    </row>
    <row r="311" spans="28:31" x14ac:dyDescent="0.25">
      <c r="AB311" s="32"/>
      <c r="AC311" s="32"/>
      <c r="AD311" s="32"/>
      <c r="AE311" s="32"/>
    </row>
    <row r="312" spans="28:31" x14ac:dyDescent="0.25">
      <c r="AB312" s="32"/>
      <c r="AC312" s="32">
        <f>AC307-25*SIN(RADIANS(Tool!$G$29-Tool!$G$22+90))</f>
        <v>-808.27064783503147</v>
      </c>
      <c r="AD312" s="46">
        <f>AD307-25*COS(RADIANS(Tool!$G$29-Tool!$G$22+90))</f>
        <v>-15041.270970566831</v>
      </c>
      <c r="AE312" s="32"/>
    </row>
    <row r="313" spans="28:31" x14ac:dyDescent="0.25">
      <c r="AB313" s="32"/>
      <c r="AC313" s="32">
        <f>AC308-25/SIN(RADIANS(-Tool!G29))*SIN(RADIANS(-Tool!$G$22))</f>
        <v>1843.9112484229024</v>
      </c>
      <c r="AD313" s="46">
        <f>AD308-25/SIN(RADIANS(-Tool!G29))*COS(RADIANS(Tool!$G$22))</f>
        <v>-1.1295325084969716E-13</v>
      </c>
      <c r="AE313" s="32"/>
    </row>
    <row r="314" spans="28:31" x14ac:dyDescent="0.25">
      <c r="AB314" s="32"/>
      <c r="AC314" s="32">
        <f>AC309-25/SIN(RADIANS(Tool!G28))*SIN(RADIANS(-Tool!$G$22))</f>
        <v>2462.0310216782987</v>
      </c>
      <c r="AD314" s="46">
        <f>AD309-25/SIN(RADIANS(Tool!G28))*COS(RADIANS(Tool!$G$22))</f>
        <v>-1.5081767510731275E-13</v>
      </c>
      <c r="AE314" s="32"/>
    </row>
    <row r="315" spans="28:31" x14ac:dyDescent="0.25">
      <c r="AB315" s="32"/>
      <c r="AC315" s="32">
        <f>AC310-25*SIN(RADIANS(Tool!$G$28-Tool!$G$22-90))</f>
        <v>11972.61722863732</v>
      </c>
      <c r="AD315" s="46">
        <f>AD310-25*COS(RADIANS(Tool!$G$28-Tool!$G$22-90))</f>
        <v>9510.5862069591058</v>
      </c>
      <c r="AE315" s="32"/>
    </row>
    <row r="316" spans="28:31" x14ac:dyDescent="0.25">
      <c r="AB316" s="32"/>
      <c r="AC316" s="32"/>
      <c r="AD316" s="46"/>
      <c r="AE316" s="32"/>
    </row>
    <row r="317" spans="28:31" x14ac:dyDescent="0.25">
      <c r="AB317" s="32"/>
      <c r="AC317" s="32">
        <f>AC312-25*SIN(RADIANS(Tool!$G$29-Tool!$G$22+90))</f>
        <v>-783.65045400972622</v>
      </c>
      <c r="AD317" s="46">
        <f>AD312-25*COS(RADIANS(Tool!$G$29-Tool!$G$22+90))</f>
        <v>-15045.612175008504</v>
      </c>
      <c r="AE317" s="32"/>
    </row>
    <row r="318" spans="28:31" x14ac:dyDescent="0.25">
      <c r="AB318" s="32"/>
      <c r="AC318" s="32">
        <f>AC313-25/SIN(RADIANS(-Tool!G29))*SIN(RADIANS(-Tool!$G$22))</f>
        <v>1869.2969137200459</v>
      </c>
      <c r="AD318" s="46">
        <f>AD313-25/SIN(RADIANS(-Tool!G29))*COS(RADIANS(Tool!$G$22))</f>
        <v>-1.1450831128047831E-13</v>
      </c>
      <c r="AE318" s="32"/>
    </row>
    <row r="319" spans="28:31" x14ac:dyDescent="0.25">
      <c r="AB319" s="32"/>
      <c r="AC319" s="32">
        <f>AC314-25/SIN(RADIANS(Tool!G28))*SIN(RADIANS(-Tool!$G$22))</f>
        <v>2497.3863607376261</v>
      </c>
      <c r="AD319" s="46">
        <f>AD314-25/SIN(RADIANS(Tool!G28))*COS(RADIANS(Tool!$G$22))</f>
        <v>-1.5298345205837801E-13</v>
      </c>
      <c r="AE319" s="32"/>
    </row>
    <row r="320" spans="28:31" x14ac:dyDescent="0.25">
      <c r="AB320" s="32"/>
      <c r="AC320" s="32">
        <f>AC315-25*SIN(RADIANS(Tool!$G$28-Tool!$G$22-90))</f>
        <v>11990.294898166983</v>
      </c>
      <c r="AD320" s="46">
        <f>AD315-25*COS(RADIANS(Tool!$G$28-Tool!$G$22-90))</f>
        <v>9492.9085374294427</v>
      </c>
      <c r="AE320" s="32"/>
    </row>
    <row r="321" spans="28:31" x14ac:dyDescent="0.25">
      <c r="AB321" s="32"/>
      <c r="AC321" s="32"/>
      <c r="AD321" s="46"/>
      <c r="AE321" s="32"/>
    </row>
    <row r="322" spans="28:31" x14ac:dyDescent="0.25">
      <c r="AB322" s="32"/>
      <c r="AC322" s="32">
        <f>AC317-25*SIN(RADIANS(Tool!$G$29-Tool!$G$22+90))</f>
        <v>-759.03026018442097</v>
      </c>
      <c r="AD322" s="46">
        <f>AD317-25*COS(RADIANS(Tool!$G$29-Tool!$G$22+90))</f>
        <v>-15049.953379450177</v>
      </c>
      <c r="AE322" s="32"/>
    </row>
    <row r="323" spans="28:31" x14ac:dyDescent="0.25">
      <c r="AB323" s="32"/>
      <c r="AC323" s="32">
        <f>AC318-25/SIN(RADIANS(-Tool!G29))*SIN(RADIANS(-Tool!$G$22))</f>
        <v>1894.6825790171895</v>
      </c>
      <c r="AD323" s="46">
        <f>AD318-25/SIN(RADIANS(-Tool!G29))*COS(RADIANS(Tool!$G$22))</f>
        <v>-1.1606337171125945E-13</v>
      </c>
      <c r="AE323" s="32"/>
    </row>
    <row r="324" spans="28:31" x14ac:dyDescent="0.25">
      <c r="AB324" s="32"/>
      <c r="AC324" s="32">
        <f>AC319-25/SIN(RADIANS(Tool!G28))*SIN(RADIANS(-Tool!$G$22))</f>
        <v>2532.7416997969535</v>
      </c>
      <c r="AD324" s="46">
        <f>AD319-25/SIN(RADIANS(Tool!G28))*COS(RADIANS(Tool!$G$22))</f>
        <v>-1.5514922900944326E-13</v>
      </c>
      <c r="AE324" s="32"/>
    </row>
    <row r="325" spans="28:31" x14ac:dyDescent="0.25">
      <c r="AB325" s="32"/>
      <c r="AC325" s="32">
        <f>AC320-25*SIN(RADIANS(Tool!$G$28-Tool!$G$22-90))</f>
        <v>12007.972567696646</v>
      </c>
      <c r="AD325" s="46">
        <f>AD320-25*COS(RADIANS(Tool!$G$28-Tool!$G$22-90))</f>
        <v>9475.2308678997797</v>
      </c>
      <c r="AE325" s="32"/>
    </row>
    <row r="326" spans="28:31" x14ac:dyDescent="0.25">
      <c r="AB326" s="32"/>
      <c r="AC326" s="32"/>
      <c r="AD326" s="46"/>
      <c r="AE326" s="32"/>
    </row>
    <row r="327" spans="28:31" x14ac:dyDescent="0.25">
      <c r="AB327" s="32"/>
      <c r="AC327" s="32">
        <f>AC322-25*SIN(RADIANS(Tool!$G$29-Tool!$G$22+90))</f>
        <v>-734.41006635911572</v>
      </c>
      <c r="AD327" s="46">
        <f>AD322-25*COS(RADIANS(Tool!$G$29-Tool!$G$22+90))</f>
        <v>-15054.294583891849</v>
      </c>
      <c r="AE327" s="32"/>
    </row>
    <row r="328" spans="28:31" x14ac:dyDescent="0.25">
      <c r="AB328" s="32"/>
      <c r="AC328" s="32">
        <f>AC323-25/SIN(RADIANS(-Tool!G29))*SIN(RADIANS(-Tool!$G$22))</f>
        <v>1920.068244314333</v>
      </c>
      <c r="AD328" s="46">
        <f>AD323-25/SIN(RADIANS(-Tool!G29))*COS(RADIANS(Tool!$G$22))</f>
        <v>-1.1761843214204059E-13</v>
      </c>
      <c r="AE328" s="32"/>
    </row>
    <row r="329" spans="28:31" x14ac:dyDescent="0.25">
      <c r="AB329" s="32"/>
      <c r="AC329" s="32">
        <f>AC324-25/SIN(RADIANS(Tool!G28))*SIN(RADIANS(-Tool!$G$22))</f>
        <v>2568.097038856281</v>
      </c>
      <c r="AD329" s="46">
        <f>AD324-25/SIN(RADIANS(Tool!G28))*COS(RADIANS(Tool!$G$22))</f>
        <v>-1.5731500596050852E-13</v>
      </c>
      <c r="AE329" s="32"/>
    </row>
    <row r="330" spans="28:31" x14ac:dyDescent="0.25">
      <c r="AB330" s="32"/>
      <c r="AC330" s="32">
        <f>AC325-25*SIN(RADIANS(Tool!$G$28-Tool!$G$22-90))</f>
        <v>12025.650237226309</v>
      </c>
      <c r="AD330" s="46">
        <f>AD325-25*COS(RADIANS(Tool!$G$28-Tool!$G$22-90))</f>
        <v>9457.5531983701167</v>
      </c>
      <c r="AE330" s="32"/>
    </row>
    <row r="331" spans="28:31" x14ac:dyDescent="0.25">
      <c r="AB331" s="32"/>
      <c r="AC331" s="32"/>
      <c r="AD331" s="46"/>
      <c r="AE331" s="32"/>
    </row>
    <row r="332" spans="28:31" x14ac:dyDescent="0.25">
      <c r="AB332" s="32"/>
      <c r="AC332" s="32">
        <f>AC327-25*SIN(RADIANS(Tool!$G$29-Tool!$G$22+90))</f>
        <v>-709.78987253381047</v>
      </c>
      <c r="AD332" s="46">
        <f>AD327-25*COS(RADIANS(Tool!$G$29-Tool!$G$22+90))</f>
        <v>-15058.635788333522</v>
      </c>
      <c r="AE332" s="32"/>
    </row>
    <row r="333" spans="28:31" x14ac:dyDescent="0.25">
      <c r="AB333" s="32"/>
      <c r="AC333" s="32">
        <f>AC328-25/SIN(RADIANS(-Tool!G29))*SIN(RADIANS(-Tool!$G$22))</f>
        <v>1945.4539096114765</v>
      </c>
      <c r="AD333" s="46">
        <f>AD328-25/SIN(RADIANS(-Tool!G29))*COS(RADIANS(Tool!$G$22))</f>
        <v>-1.1917349257282173E-13</v>
      </c>
      <c r="AE333" s="32"/>
    </row>
    <row r="334" spans="28:31" x14ac:dyDescent="0.25">
      <c r="AB334" s="32"/>
      <c r="AC334" s="32">
        <f>AC329-25/SIN(RADIANS(Tool!G28))*SIN(RADIANS(-Tool!$G$22))</f>
        <v>2603.4523779156084</v>
      </c>
      <c r="AD334" s="46">
        <f>AD329-25/SIN(RADIANS(Tool!G28))*COS(RADIANS(Tool!$G$22))</f>
        <v>-1.5948078291157378E-13</v>
      </c>
      <c r="AE334" s="32"/>
    </row>
    <row r="335" spans="28:31" x14ac:dyDescent="0.25">
      <c r="AB335" s="32"/>
      <c r="AC335" s="32">
        <f>AC330-25*SIN(RADIANS(Tool!$G$28-Tool!$G$22-90))</f>
        <v>12043.327906755972</v>
      </c>
      <c r="AD335" s="46">
        <f>AD330-25*COS(RADIANS(Tool!$G$28-Tool!$G$22-90))</f>
        <v>9439.8755288404536</v>
      </c>
      <c r="AE335" s="32"/>
    </row>
    <row r="336" spans="28:31" x14ac:dyDescent="0.25">
      <c r="AB336" s="32"/>
      <c r="AC336" s="32"/>
      <c r="AD336" s="32"/>
      <c r="AE336" s="32"/>
    </row>
    <row r="337" spans="28:31" x14ac:dyDescent="0.25">
      <c r="AB337" s="32"/>
      <c r="AC337" s="32">
        <f>AC332-25*SIN(RADIANS(Tool!$G$29-Tool!$G$22+90))</f>
        <v>-685.16967870850522</v>
      </c>
      <c r="AD337" s="46">
        <f>AD332-25*COS(RADIANS(Tool!$G$29-Tool!$G$22+90))</f>
        <v>-15062.976992775195</v>
      </c>
      <c r="AE337" s="32"/>
    </row>
    <row r="338" spans="28:31" x14ac:dyDescent="0.25">
      <c r="AB338" s="32"/>
      <c r="AC338" s="32">
        <f>AC333-25/SIN(RADIANS(-Tool!G29))*SIN(RADIANS(-Tool!$G$22))</f>
        <v>1970.8395749086201</v>
      </c>
      <c r="AD338" s="46">
        <f>AD333-25/SIN(RADIANS(-Tool!G29))*COS(RADIANS(Tool!$G$22))</f>
        <v>-1.2072855300360287E-13</v>
      </c>
      <c r="AE338" s="32"/>
    </row>
    <row r="339" spans="28:31" x14ac:dyDescent="0.25">
      <c r="AB339" s="32"/>
      <c r="AC339" s="32">
        <f>AC334-25/SIN(RADIANS(Tool!G28))*SIN(RADIANS(-Tool!$G$22))</f>
        <v>2638.8077169749358</v>
      </c>
      <c r="AD339" s="46">
        <f>AD334-25/SIN(RADIANS(Tool!G28))*COS(RADIANS(Tool!$G$22))</f>
        <v>-1.6164655986263903E-13</v>
      </c>
      <c r="AE339" s="32"/>
    </row>
    <row r="340" spans="28:31" x14ac:dyDescent="0.25">
      <c r="AB340" s="32"/>
      <c r="AC340" s="32">
        <f>AC335-25*SIN(RADIANS(Tool!$G$28-Tool!$G$22-90))</f>
        <v>12061.005576285635</v>
      </c>
      <c r="AD340" s="46">
        <f>AD335-25*COS(RADIANS(Tool!$G$28-Tool!$G$22-90))</f>
        <v>9422.1978593107906</v>
      </c>
      <c r="AE340" s="32"/>
    </row>
    <row r="341" spans="28:31" x14ac:dyDescent="0.25">
      <c r="AB341" s="32"/>
      <c r="AC341" s="32"/>
      <c r="AD341" s="46"/>
      <c r="AE341" s="32"/>
    </row>
    <row r="342" spans="28:31" x14ac:dyDescent="0.25">
      <c r="AB342" s="32"/>
      <c r="AC342" s="32">
        <f>AC337-25*SIN(RADIANS(Tool!$G$29-Tool!$G$22+90))</f>
        <v>-660.54948488319997</v>
      </c>
      <c r="AD342" s="46">
        <f>AD337-25*COS(RADIANS(Tool!$G$29-Tool!$G$22+90))</f>
        <v>-15067.318197216868</v>
      </c>
      <c r="AE342" s="32"/>
    </row>
    <row r="343" spans="28:31" x14ac:dyDescent="0.25">
      <c r="AB343" s="32"/>
      <c r="AC343" s="32">
        <f>AC338-25/SIN(RADIANS(-Tool!G29))*SIN(RADIANS(-Tool!$G$22))</f>
        <v>1996.2252402057636</v>
      </c>
      <c r="AD343" s="46">
        <f>AD338-25/SIN(RADIANS(-Tool!G29))*COS(RADIANS(Tool!$G$22))</f>
        <v>-1.2228361343438401E-13</v>
      </c>
      <c r="AE343" s="32"/>
    </row>
    <row r="344" spans="28:31" x14ac:dyDescent="0.25">
      <c r="AB344" s="32"/>
      <c r="AC344" s="32">
        <f>AC339-25/SIN(RADIANS(Tool!G28))*SIN(RADIANS(-Tool!$G$22))</f>
        <v>2674.1630560342633</v>
      </c>
      <c r="AD344" s="46">
        <f>AD339-25/SIN(RADIANS(Tool!G28))*COS(RADIANS(Tool!$G$22))</f>
        <v>-1.6381233681370429E-13</v>
      </c>
      <c r="AE344" s="32"/>
    </row>
    <row r="345" spans="28:31" x14ac:dyDescent="0.25">
      <c r="AB345" s="32"/>
      <c r="AC345" s="32">
        <f>AC340-25*SIN(RADIANS(Tool!$G$28-Tool!$G$22-90))</f>
        <v>12078.683245815299</v>
      </c>
      <c r="AD345" s="46">
        <f>AD340-25*COS(RADIANS(Tool!$G$28-Tool!$G$22-90))</f>
        <v>9404.5201897811276</v>
      </c>
      <c r="AE345" s="32"/>
    </row>
    <row r="346" spans="28:31" x14ac:dyDescent="0.25">
      <c r="AB346" s="32"/>
      <c r="AC346" s="32"/>
      <c r="AD346" s="46"/>
      <c r="AE346" s="32"/>
    </row>
    <row r="347" spans="28:31" x14ac:dyDescent="0.25">
      <c r="AB347" s="32"/>
      <c r="AC347" s="32">
        <f>AC342-25*SIN(RADIANS(Tool!$G$29-Tool!$G$22+90))</f>
        <v>-635.92929105789472</v>
      </c>
      <c r="AD347" s="46">
        <f>AD342-25*COS(RADIANS(Tool!$G$29-Tool!$G$22+90))</f>
        <v>-15071.65940165854</v>
      </c>
      <c r="AE347" s="32"/>
    </row>
    <row r="348" spans="28:31" x14ac:dyDescent="0.25">
      <c r="AB348" s="32"/>
      <c r="AC348" s="32">
        <f>AC343-25/SIN(RADIANS(-Tool!G29))*SIN(RADIANS(-Tool!$G$22))</f>
        <v>2021.6109055029071</v>
      </c>
      <c r="AD348" s="46">
        <f>AD343-25/SIN(RADIANS(-Tool!G29))*COS(RADIANS(Tool!$G$22))</f>
        <v>-1.2383867386516515E-13</v>
      </c>
      <c r="AE348" s="32"/>
    </row>
    <row r="349" spans="28:31" x14ac:dyDescent="0.25">
      <c r="AB349" s="32"/>
      <c r="AC349" s="32">
        <f>AC344-25/SIN(RADIANS(Tool!G28))*SIN(RADIANS(-Tool!$G$22))</f>
        <v>2709.5183950935907</v>
      </c>
      <c r="AD349" s="46">
        <f>AD344-25/SIN(RADIANS(Tool!G28))*COS(RADIANS(Tool!$G$22))</f>
        <v>-1.6597811376476954E-13</v>
      </c>
      <c r="AE349" s="32"/>
    </row>
    <row r="350" spans="28:31" x14ac:dyDescent="0.25">
      <c r="AB350" s="32"/>
      <c r="AC350" s="32">
        <f>AC345-25*SIN(RADIANS(Tool!$G$28-Tool!$G$22-90))</f>
        <v>12096.360915344962</v>
      </c>
      <c r="AD350" s="46">
        <f>AD345-25*COS(RADIANS(Tool!$G$28-Tool!$G$22-90))</f>
        <v>9386.8425202514645</v>
      </c>
      <c r="AE350" s="32"/>
    </row>
    <row r="351" spans="28:31" x14ac:dyDescent="0.25">
      <c r="AB351" s="32"/>
      <c r="AC351" s="32"/>
      <c r="AD351" s="46"/>
      <c r="AE351" s="32"/>
    </row>
    <row r="352" spans="28:31" x14ac:dyDescent="0.25">
      <c r="AB352" s="32"/>
      <c r="AC352" s="32">
        <f>AC347-25*SIN(RADIANS(Tool!$G$29-Tool!$G$22+90))</f>
        <v>-611.30909723258947</v>
      </c>
      <c r="AD352" s="46">
        <f>AD347-25*COS(RADIANS(Tool!$G$29-Tool!$G$22+90))</f>
        <v>-15076.000606100213</v>
      </c>
      <c r="AE352" s="32"/>
    </row>
    <row r="353" spans="28:31" x14ac:dyDescent="0.25">
      <c r="AB353" s="32"/>
      <c r="AC353" s="32">
        <f>AC348-25/SIN(RADIANS(-Tool!G29))*SIN(RADIANS(-Tool!$G$22))</f>
        <v>2046.9965708000507</v>
      </c>
      <c r="AD353" s="46">
        <f>AD348-25/SIN(RADIANS(-Tool!G29))*COS(RADIANS(Tool!$G$22))</f>
        <v>-1.2539373429594629E-13</v>
      </c>
      <c r="AE353" s="32"/>
    </row>
    <row r="354" spans="28:31" x14ac:dyDescent="0.25">
      <c r="AB354" s="32"/>
      <c r="AC354" s="32">
        <f>AC349-25/SIN(RADIANS(Tool!G28))*SIN(RADIANS(-Tool!$G$22))</f>
        <v>2744.8737341529181</v>
      </c>
      <c r="AD354" s="46">
        <f>AD349-25/SIN(RADIANS(Tool!G28))*COS(RADIANS(Tool!$G$22))</f>
        <v>-1.681438907158348E-13</v>
      </c>
      <c r="AE354" s="32"/>
    </row>
    <row r="355" spans="28:31" x14ac:dyDescent="0.25">
      <c r="AB355" s="32"/>
      <c r="AC355" s="32">
        <f>AC350-25*SIN(RADIANS(Tool!$G$28-Tool!$G$22-90))</f>
        <v>12114.038584874625</v>
      </c>
      <c r="AD355" s="46">
        <f>AD350-25*COS(RADIANS(Tool!$G$28-Tool!$G$22-90))</f>
        <v>9369.1648507218015</v>
      </c>
      <c r="AE355" s="32"/>
    </row>
    <row r="356" spans="28:31" x14ac:dyDescent="0.25">
      <c r="AB356" s="32"/>
      <c r="AC356" s="32"/>
      <c r="AD356" s="46"/>
      <c r="AE356" s="32"/>
    </row>
    <row r="357" spans="28:31" x14ac:dyDescent="0.25">
      <c r="AB357" s="32"/>
      <c r="AC357" s="32">
        <f>AC352-25*SIN(RADIANS(Tool!$G$29-Tool!$G$22+90))</f>
        <v>-586.68890340728422</v>
      </c>
      <c r="AD357" s="46">
        <f>AD352-25*COS(RADIANS(Tool!$G$29-Tool!$G$22+90))</f>
        <v>-15080.341810541886</v>
      </c>
      <c r="AE357" s="32"/>
    </row>
    <row r="358" spans="28:31" x14ac:dyDescent="0.25">
      <c r="AB358" s="32"/>
      <c r="AC358" s="32">
        <f>AC353-25/SIN(RADIANS(-Tool!G29))*SIN(RADIANS(-Tool!$G$22))</f>
        <v>2072.3822360971944</v>
      </c>
      <c r="AD358" s="46">
        <f>AD353-25/SIN(RADIANS(-Tool!G29))*COS(RADIANS(Tool!$G$22))</f>
        <v>-1.2694879472672743E-13</v>
      </c>
      <c r="AE358" s="32"/>
    </row>
    <row r="359" spans="28:31" x14ac:dyDescent="0.25">
      <c r="AB359" s="32"/>
      <c r="AC359" s="32">
        <f>AC354-25/SIN(RADIANS(Tool!G28))*SIN(RADIANS(-Tool!$G$22))</f>
        <v>2780.2290732122456</v>
      </c>
      <c r="AD359" s="46">
        <f>AD354-25/SIN(RADIANS(Tool!G28))*COS(RADIANS(Tool!$G$22))</f>
        <v>-1.7030966766690005E-13</v>
      </c>
      <c r="AE359" s="32"/>
    </row>
    <row r="360" spans="28:31" x14ac:dyDescent="0.25">
      <c r="AB360" s="32"/>
      <c r="AC360" s="32">
        <f>AC355-25*SIN(RADIANS(Tool!$G$28-Tool!$G$22-90))</f>
        <v>12131.716254404288</v>
      </c>
      <c r="AD360" s="46">
        <f>AD355-25*COS(RADIANS(Tool!$G$28-Tool!$G$22-90))</f>
        <v>9351.4871811921385</v>
      </c>
      <c r="AE360" s="32"/>
    </row>
    <row r="361" spans="28:31" x14ac:dyDescent="0.25">
      <c r="AB361" s="32"/>
      <c r="AC361" s="32"/>
      <c r="AD361" s="32"/>
      <c r="AE361" s="32"/>
    </row>
    <row r="362" spans="28:31" x14ac:dyDescent="0.25">
      <c r="AB362" s="32"/>
      <c r="AC362" s="32">
        <f>AC357-25*SIN(RADIANS(Tool!$G$29-Tool!$G$22+90))</f>
        <v>-562.06870958197896</v>
      </c>
      <c r="AD362" s="46">
        <f>AD357-25*COS(RADIANS(Tool!$G$29-Tool!$G$22+90))</f>
        <v>-15084.683014983559</v>
      </c>
      <c r="AE362" s="32"/>
    </row>
    <row r="363" spans="28:31" x14ac:dyDescent="0.25">
      <c r="AB363" s="32"/>
      <c r="AC363" s="32">
        <f>AC358-25/SIN(RADIANS(-Tool!G29))*SIN(RADIANS(-Tool!$G$22))</f>
        <v>2097.767901394338</v>
      </c>
      <c r="AD363" s="46">
        <f>AD358-25/SIN(RADIANS(-Tool!G29))*COS(RADIANS(Tool!$G$22))</f>
        <v>-1.2850385515750856E-13</v>
      </c>
      <c r="AE363" s="32"/>
    </row>
    <row r="364" spans="28:31" x14ac:dyDescent="0.25">
      <c r="AB364" s="32"/>
      <c r="AC364" s="32">
        <f>AC359-25/SIN(RADIANS(Tool!G28))*SIN(RADIANS(-Tool!$G$22))</f>
        <v>2815.584412271573</v>
      </c>
      <c r="AD364" s="46">
        <f>AD359-25/SIN(RADIANS(Tool!G28))*COS(RADIANS(Tool!$G$22))</f>
        <v>-1.7247544461796531E-13</v>
      </c>
      <c r="AE364" s="32"/>
    </row>
    <row r="365" spans="28:31" x14ac:dyDescent="0.25">
      <c r="AB365" s="32"/>
      <c r="AC365" s="32">
        <f>AC360-25*SIN(RADIANS(Tool!$G$28-Tool!$G$22-90))</f>
        <v>12149.393923933951</v>
      </c>
      <c r="AD365" s="46">
        <f>AD360-25*COS(RADIANS(Tool!$G$28-Tool!$G$22-90))</f>
        <v>9333.8095116624754</v>
      </c>
      <c r="AE365" s="32"/>
    </row>
    <row r="366" spans="28:31" x14ac:dyDescent="0.25">
      <c r="AB366" s="32"/>
      <c r="AC366" s="32"/>
      <c r="AD366" s="46"/>
      <c r="AE366" s="32"/>
    </row>
    <row r="367" spans="28:31" x14ac:dyDescent="0.25">
      <c r="AB367" s="32"/>
      <c r="AC367" s="32">
        <f>AC362-25*SIN(RADIANS(Tool!$G$29-Tool!$G$22+90))</f>
        <v>-537.44851575667371</v>
      </c>
      <c r="AD367" s="46">
        <f>AD362-25*COS(RADIANS(Tool!$G$29-Tool!$G$22+90))</f>
        <v>-15089.024219425231</v>
      </c>
      <c r="AE367" s="32"/>
    </row>
    <row r="368" spans="28:31" x14ac:dyDescent="0.25">
      <c r="AB368" s="32"/>
      <c r="AC368" s="32">
        <f>AC363-25/SIN(RADIANS(-Tool!G29))*SIN(RADIANS(-Tool!$G$22))</f>
        <v>2123.1535666914815</v>
      </c>
      <c r="AD368" s="46">
        <f>AD363-25/SIN(RADIANS(-Tool!G29))*COS(RADIANS(Tool!$G$22))</f>
        <v>-1.300589155882897E-13</v>
      </c>
      <c r="AE368" s="32"/>
    </row>
    <row r="369" spans="28:31" x14ac:dyDescent="0.25">
      <c r="AB369" s="32"/>
      <c r="AC369" s="32">
        <f>AC364-25/SIN(RADIANS(Tool!G28))*SIN(RADIANS(-Tool!$G$22))</f>
        <v>2850.9397513309004</v>
      </c>
      <c r="AD369" s="46">
        <f>AD364-25/SIN(RADIANS(Tool!G28))*COS(RADIANS(Tool!$G$22))</f>
        <v>-1.7464122156903057E-13</v>
      </c>
      <c r="AE369" s="32"/>
    </row>
    <row r="370" spans="28:31" x14ac:dyDescent="0.25">
      <c r="AB370" s="32"/>
      <c r="AC370" s="32">
        <f>AC365-25*SIN(RADIANS(Tool!$G$28-Tool!$G$22-90))</f>
        <v>12167.071593463614</v>
      </c>
      <c r="AD370" s="46">
        <f>AD365-25*COS(RADIANS(Tool!$G$28-Tool!$G$22-90))</f>
        <v>9316.1318421328124</v>
      </c>
      <c r="AE370" s="32"/>
    </row>
    <row r="371" spans="28:31" x14ac:dyDescent="0.25">
      <c r="AB371" s="32"/>
      <c r="AC371" s="32"/>
      <c r="AD371" s="46"/>
      <c r="AE371" s="32"/>
    </row>
    <row r="372" spans="28:31" x14ac:dyDescent="0.25">
      <c r="AB372" s="32"/>
      <c r="AC372" s="32">
        <f>AC367-25*SIN(RADIANS(Tool!$G$29-Tool!$G$22+90))</f>
        <v>-512.82832193136846</v>
      </c>
      <c r="AD372" s="46">
        <f>AD367-25*COS(RADIANS(Tool!$G$29-Tool!$G$22+90))</f>
        <v>-15093.365423866904</v>
      </c>
      <c r="AE372" s="32"/>
    </row>
    <row r="373" spans="28:31" x14ac:dyDescent="0.25">
      <c r="AB373" s="32"/>
      <c r="AC373" s="32">
        <f>AC368-25/SIN(RADIANS(-Tool!G29))*SIN(RADIANS(-Tool!$G$22))</f>
        <v>2148.539231988625</v>
      </c>
      <c r="AD373" s="46">
        <f>AD368-25/SIN(RADIANS(-Tool!G29))*COS(RADIANS(Tool!$G$22))</f>
        <v>-1.3161397601907084E-13</v>
      </c>
      <c r="AE373" s="32"/>
    </row>
    <row r="374" spans="28:31" x14ac:dyDescent="0.25">
      <c r="AB374" s="32"/>
      <c r="AC374" s="32">
        <f>AC369-25/SIN(RADIANS(Tool!G28))*SIN(RADIANS(-Tool!$G$22))</f>
        <v>2886.2950903902279</v>
      </c>
      <c r="AD374" s="46">
        <f>AD369-25/SIN(RADIANS(Tool!G28))*COS(RADIANS(Tool!$G$22))</f>
        <v>-1.7680699852009582E-13</v>
      </c>
      <c r="AE374" s="32"/>
    </row>
    <row r="375" spans="28:31" x14ac:dyDescent="0.25">
      <c r="AB375" s="32"/>
      <c r="AC375" s="32">
        <f>AC370-25*SIN(RADIANS(Tool!$G$28-Tool!$G$22-90))</f>
        <v>12184.749262993277</v>
      </c>
      <c r="AD375" s="46">
        <f>AD370-25*COS(RADIANS(Tool!$G$28-Tool!$G$22-90))</f>
        <v>9298.4541726031493</v>
      </c>
      <c r="AE375" s="32"/>
    </row>
    <row r="376" spans="28:31" x14ac:dyDescent="0.25">
      <c r="AB376" s="32"/>
      <c r="AC376" s="32"/>
      <c r="AD376" s="46"/>
      <c r="AE376" s="32"/>
    </row>
    <row r="377" spans="28:31" x14ac:dyDescent="0.25">
      <c r="AB377" s="32"/>
      <c r="AC377" s="32">
        <f>AC372-25*SIN(RADIANS(Tool!$G$29-Tool!$G$22+90))</f>
        <v>-488.20812810606327</v>
      </c>
      <c r="AD377" s="46">
        <f>AD372-25*COS(RADIANS(Tool!$G$29-Tool!$G$22+90))</f>
        <v>-15097.706628308577</v>
      </c>
      <c r="AE377" s="32"/>
    </row>
    <row r="378" spans="28:31" x14ac:dyDescent="0.25">
      <c r="AB378" s="32"/>
      <c r="AC378" s="32">
        <f>AC373-25/SIN(RADIANS(-Tool!G29))*SIN(RADIANS(-Tool!$G$22))</f>
        <v>2173.9248972857686</v>
      </c>
      <c r="AD378" s="46">
        <f>AD373-25/SIN(RADIANS(-Tool!G29))*COS(RADIANS(Tool!$G$22))</f>
        <v>-1.3316903644985198E-13</v>
      </c>
      <c r="AE378" s="32"/>
    </row>
    <row r="379" spans="28:31" x14ac:dyDescent="0.25">
      <c r="AB379" s="32"/>
      <c r="AC379" s="32">
        <f>AC374-25/SIN(RADIANS(Tool!G28))*SIN(RADIANS(-Tool!$G$22))</f>
        <v>2921.6504294495553</v>
      </c>
      <c r="AD379" s="46">
        <f>AD374-25/SIN(RADIANS(Tool!G28))*COS(RADIANS(Tool!$G$22))</f>
        <v>-1.7897277547116108E-13</v>
      </c>
      <c r="AE379" s="32"/>
    </row>
    <row r="380" spans="28:31" x14ac:dyDescent="0.25">
      <c r="AB380" s="32"/>
      <c r="AC380" s="32">
        <f>AC375-25*SIN(RADIANS(Tool!$G$28-Tool!$G$22-90))</f>
        <v>12202.42693252294</v>
      </c>
      <c r="AD380" s="46">
        <f>AD375-25*COS(RADIANS(Tool!$G$28-Tool!$G$22-90))</f>
        <v>9280.7765030734863</v>
      </c>
      <c r="AE380" s="32"/>
    </row>
    <row r="381" spans="28:31" x14ac:dyDescent="0.25">
      <c r="AB381" s="32"/>
      <c r="AC381" s="32"/>
      <c r="AD381" s="46"/>
      <c r="AE381" s="32"/>
    </row>
    <row r="382" spans="28:31" x14ac:dyDescent="0.25">
      <c r="AB382" s="32"/>
      <c r="AC382" s="32">
        <f>AC377-25*SIN(RADIANS(Tool!$G$29-Tool!$G$22+90))</f>
        <v>-463.58793428075808</v>
      </c>
      <c r="AD382" s="46">
        <f>AD377-25*COS(RADIANS(Tool!$G$29-Tool!$G$22+90))</f>
        <v>-15102.04783275025</v>
      </c>
      <c r="AE382" s="32"/>
    </row>
    <row r="383" spans="28:31" x14ac:dyDescent="0.25">
      <c r="AB383" s="32"/>
      <c r="AC383" s="32">
        <f>AC378-25/SIN(RADIANS(-Tool!G29))*SIN(RADIANS(-Tool!$G$22))</f>
        <v>2199.3105625829121</v>
      </c>
      <c r="AD383" s="46">
        <f>AD378-25/SIN(RADIANS(-Tool!G29))*COS(RADIANS(Tool!$G$22))</f>
        <v>-1.3472409688063312E-13</v>
      </c>
      <c r="AE383" s="32"/>
    </row>
    <row r="384" spans="28:31" x14ac:dyDescent="0.25">
      <c r="AB384" s="32"/>
      <c r="AC384" s="32">
        <f>AC379-25/SIN(RADIANS(Tool!G28))*SIN(RADIANS(-Tool!$G$22))</f>
        <v>2957.0057685088827</v>
      </c>
      <c r="AD384" s="46">
        <f>AD379-25/SIN(RADIANS(Tool!G28))*COS(RADIANS(Tool!$G$22))</f>
        <v>-1.8113855242222633E-13</v>
      </c>
      <c r="AE384" s="32"/>
    </row>
    <row r="385" spans="28:31" x14ac:dyDescent="0.25">
      <c r="AB385" s="32"/>
      <c r="AC385" s="32">
        <f>AC380-25*SIN(RADIANS(Tool!$G$28-Tool!$G$22-90))</f>
        <v>12220.104602052603</v>
      </c>
      <c r="AD385" s="46">
        <f>AD380-25*COS(RADIANS(Tool!$G$28-Tool!$G$22-90))</f>
        <v>9263.0988335438233</v>
      </c>
      <c r="AE385" s="32"/>
    </row>
    <row r="386" spans="28:31" x14ac:dyDescent="0.25">
      <c r="AB386" s="32"/>
      <c r="AC386" s="32"/>
      <c r="AD386" s="32"/>
      <c r="AE386" s="32"/>
    </row>
    <row r="387" spans="28:31" x14ac:dyDescent="0.25">
      <c r="AB387" s="32"/>
      <c r="AC387" s="32">
        <f>AC382-25*SIN(RADIANS(Tool!$G$29-Tool!$G$22+90))</f>
        <v>-438.96774045545288</v>
      </c>
      <c r="AD387" s="46">
        <f>AD382-25*COS(RADIANS(Tool!$G$29-Tool!$G$22+90))</f>
        <v>-15106.389037191922</v>
      </c>
      <c r="AE387" s="32"/>
    </row>
    <row r="388" spans="28:31" x14ac:dyDescent="0.25">
      <c r="AB388" s="32"/>
      <c r="AC388" s="32">
        <f>AC383-25/SIN(RADIANS(-Tool!G29))*SIN(RADIANS(-Tool!$G$22))</f>
        <v>2224.6962278800556</v>
      </c>
      <c r="AD388" s="46">
        <f>AD383-25/SIN(RADIANS(-Tool!G29))*COS(RADIANS(Tool!$G$22))</f>
        <v>-1.3627915731141426E-13</v>
      </c>
      <c r="AE388" s="32"/>
    </row>
    <row r="389" spans="28:31" x14ac:dyDescent="0.25">
      <c r="AB389" s="32"/>
      <c r="AC389" s="32">
        <f>AC384-25/SIN(RADIANS(Tool!G28))*SIN(RADIANS(-Tool!$G$22))</f>
        <v>2992.3611075682102</v>
      </c>
      <c r="AD389" s="46">
        <f>AD384-25/SIN(RADIANS(Tool!G28))*COS(RADIANS(Tool!$G$22))</f>
        <v>-1.8330432937329159E-13</v>
      </c>
      <c r="AE389" s="32"/>
    </row>
    <row r="390" spans="28:31" x14ac:dyDescent="0.25">
      <c r="AB390" s="32"/>
      <c r="AC390" s="32">
        <f>AC385-25*SIN(RADIANS(Tool!$G$28-Tool!$G$22-90))</f>
        <v>12237.782271582266</v>
      </c>
      <c r="AD390" s="46">
        <f>AD385-25*COS(RADIANS(Tool!$G$28-Tool!$G$22-90))</f>
        <v>9245.4211640141602</v>
      </c>
      <c r="AE390" s="32"/>
    </row>
    <row r="391" spans="28:31" x14ac:dyDescent="0.25">
      <c r="AB391" s="32"/>
      <c r="AC391" s="32"/>
      <c r="AD391" s="46"/>
      <c r="AE391" s="32"/>
    </row>
    <row r="392" spans="28:31" x14ac:dyDescent="0.25">
      <c r="AB392" s="32"/>
      <c r="AC392" s="32">
        <f>AC387-25*SIN(RADIANS(Tool!$G$29-Tool!$G$22+90))</f>
        <v>-414.34754663014769</v>
      </c>
      <c r="AD392" s="46">
        <f>AD387-25*COS(RADIANS(Tool!$G$29-Tool!$G$22+90))</f>
        <v>-15110.730241633595</v>
      </c>
      <c r="AE392" s="32"/>
    </row>
    <row r="393" spans="28:31" x14ac:dyDescent="0.25">
      <c r="AB393" s="32"/>
      <c r="AC393" s="32">
        <f>AC388-25/SIN(RADIANS(-Tool!G29))*SIN(RADIANS(-Tool!$G$22))</f>
        <v>2250.0818931771992</v>
      </c>
      <c r="AD393" s="46">
        <f>AD388-25/SIN(RADIANS(-Tool!G29))*COS(RADIANS(Tool!$G$22))</f>
        <v>-1.378342177421954E-13</v>
      </c>
      <c r="AE393" s="32"/>
    </row>
    <row r="394" spans="28:31" x14ac:dyDescent="0.25">
      <c r="AB394" s="32"/>
      <c r="AC394" s="32">
        <f>AC389-25/SIN(RADIANS(Tool!G28))*SIN(RADIANS(-Tool!$G$22))</f>
        <v>3027.7164466275376</v>
      </c>
      <c r="AD394" s="46">
        <f>AD389-25/SIN(RADIANS(Tool!G28))*COS(RADIANS(Tool!$G$22))</f>
        <v>-1.8547010632435684E-13</v>
      </c>
      <c r="AE394" s="32"/>
    </row>
    <row r="395" spans="28:31" x14ac:dyDescent="0.25">
      <c r="AB395" s="32"/>
      <c r="AC395" s="32">
        <f>AC390-25*SIN(RADIANS(Tool!$G$28-Tool!$G$22-90))</f>
        <v>12255.459941111929</v>
      </c>
      <c r="AD395" s="46">
        <f>AD390-25*COS(RADIANS(Tool!$G$28-Tool!$G$22-90))</f>
        <v>9227.7434944844972</v>
      </c>
      <c r="AE395" s="32"/>
    </row>
    <row r="396" spans="28:31" x14ac:dyDescent="0.25">
      <c r="AB396" s="32"/>
      <c r="AC396" s="32"/>
      <c r="AD396" s="46"/>
      <c r="AE396" s="32"/>
    </row>
    <row r="397" spans="28:31" x14ac:dyDescent="0.25">
      <c r="AB397" s="32"/>
      <c r="AC397" s="32">
        <f>AC392-25*SIN(RADIANS(Tool!$G$29-Tool!$G$22+90))</f>
        <v>-389.7273528048425</v>
      </c>
      <c r="AD397" s="46">
        <f>AD392-25*COS(RADIANS(Tool!$G$29-Tool!$G$22+90))</f>
        <v>-15115.071446075268</v>
      </c>
      <c r="AE397" s="32"/>
    </row>
    <row r="398" spans="28:31" x14ac:dyDescent="0.25">
      <c r="AB398" s="32"/>
      <c r="AC398" s="32">
        <f>AC393-25/SIN(RADIANS(-Tool!G29))*SIN(RADIANS(-Tool!$G$22))</f>
        <v>2275.4675584743427</v>
      </c>
      <c r="AD398" s="46">
        <f>AD393-25/SIN(RADIANS(-Tool!G29))*COS(RADIANS(Tool!$G$22))</f>
        <v>-1.3938927817297654E-13</v>
      </c>
      <c r="AE398" s="32"/>
    </row>
    <row r="399" spans="28:31" x14ac:dyDescent="0.25">
      <c r="AB399" s="32"/>
      <c r="AC399" s="32">
        <f>AC394-25/SIN(RADIANS(Tool!G28))*SIN(RADIANS(-Tool!$G$22))</f>
        <v>3063.071785686865</v>
      </c>
      <c r="AD399" s="46">
        <f>AD394-25/SIN(RADIANS(Tool!G28))*COS(RADIANS(Tool!$G$22))</f>
        <v>-1.876358832754221E-13</v>
      </c>
      <c r="AE399" s="32"/>
    </row>
    <row r="400" spans="28:31" x14ac:dyDescent="0.25">
      <c r="AB400" s="32"/>
      <c r="AC400" s="32">
        <f>AC395-25*SIN(RADIANS(Tool!$G$28-Tool!$G$22-90))</f>
        <v>12273.137610641592</v>
      </c>
      <c r="AD400" s="46">
        <f>AD395-25*COS(RADIANS(Tool!$G$28-Tool!$G$22-90))</f>
        <v>9210.0658249548342</v>
      </c>
      <c r="AE400" s="32"/>
    </row>
    <row r="401" spans="28:31" x14ac:dyDescent="0.25">
      <c r="AB401" s="32"/>
      <c r="AC401" s="32"/>
      <c r="AD401" s="46"/>
      <c r="AE401" s="32"/>
    </row>
    <row r="402" spans="28:31" x14ac:dyDescent="0.25">
      <c r="AB402" s="32"/>
      <c r="AC402" s="32">
        <f>AC397-25*SIN(RADIANS(Tool!$G$29-Tool!$G$22+90))</f>
        <v>-365.1071589795373</v>
      </c>
      <c r="AD402" s="46">
        <f>AD397-25*COS(RADIANS(Tool!$G$29-Tool!$G$22+90))</f>
        <v>-15119.412650516941</v>
      </c>
      <c r="AE402" s="32"/>
    </row>
    <row r="403" spans="28:31" x14ac:dyDescent="0.25">
      <c r="AB403" s="32"/>
      <c r="AC403" s="32">
        <f>AC398-25/SIN(RADIANS(-Tool!G29))*SIN(RADIANS(-Tool!$G$22))</f>
        <v>2300.8532237714862</v>
      </c>
      <c r="AD403" s="46">
        <f>AD398-25/SIN(RADIANS(-Tool!G29))*COS(RADIANS(Tool!$G$22))</f>
        <v>-1.4094433860375768E-13</v>
      </c>
      <c r="AE403" s="32"/>
    </row>
    <row r="404" spans="28:31" x14ac:dyDescent="0.25">
      <c r="AB404" s="32"/>
      <c r="AC404" s="32">
        <f>AC399-25/SIN(RADIANS(Tool!G28))*SIN(RADIANS(-Tool!$G$22))</f>
        <v>3098.4271247461925</v>
      </c>
      <c r="AD404" s="46">
        <f>AD399-25/SIN(RADIANS(Tool!G28))*COS(RADIANS(Tool!$G$22))</f>
        <v>-1.8980166022648736E-13</v>
      </c>
      <c r="AE404" s="32"/>
    </row>
    <row r="405" spans="28:31" x14ac:dyDescent="0.25">
      <c r="AB405" s="32"/>
      <c r="AC405" s="32">
        <f>AC400-25*SIN(RADIANS(Tool!$G$28-Tool!$G$22-90))</f>
        <v>12290.815280171255</v>
      </c>
      <c r="AD405" s="46">
        <f>AD400-25*COS(RADIANS(Tool!$G$28-Tool!$G$22-90))</f>
        <v>9192.3881554251711</v>
      </c>
      <c r="AE405" s="32"/>
    </row>
    <row r="406" spans="28:31" x14ac:dyDescent="0.25">
      <c r="AB406" s="32"/>
      <c r="AC406" s="32"/>
      <c r="AD406" s="46"/>
      <c r="AE406" s="32"/>
    </row>
    <row r="407" spans="28:31" x14ac:dyDescent="0.25">
      <c r="AB407" s="32"/>
      <c r="AC407" s="32"/>
      <c r="AD407" s="46"/>
      <c r="AE407" s="32"/>
    </row>
    <row r="408" spans="28:31" x14ac:dyDescent="0.25">
      <c r="AB408" s="32"/>
      <c r="AC408" s="32"/>
      <c r="AD408" s="46"/>
      <c r="AE408" s="32"/>
    </row>
    <row r="409" spans="28:31" x14ac:dyDescent="0.25">
      <c r="AB409" s="32"/>
      <c r="AC409" s="32"/>
      <c r="AD409" s="46"/>
      <c r="AE409" s="32"/>
    </row>
    <row r="410" spans="28:31" x14ac:dyDescent="0.25">
      <c r="AB410" s="32"/>
      <c r="AC410" s="32"/>
      <c r="AD410" s="46"/>
      <c r="AE410" s="32"/>
    </row>
    <row r="411" spans="28:31" x14ac:dyDescent="0.25">
      <c r="AB411" s="32"/>
      <c r="AC411" s="32"/>
      <c r="AD411" s="46"/>
      <c r="AE411" s="32"/>
    </row>
    <row r="412" spans="28:31" x14ac:dyDescent="0.25">
      <c r="AB412" s="32"/>
      <c r="AC412" s="32"/>
      <c r="AD412" s="46"/>
      <c r="AE412" s="32"/>
    </row>
    <row r="413" spans="28:31" x14ac:dyDescent="0.25">
      <c r="AB413" s="32"/>
      <c r="AC413" s="32"/>
      <c r="AD413" s="46"/>
      <c r="AE413" s="32"/>
    </row>
    <row r="414" spans="28:31" x14ac:dyDescent="0.25">
      <c r="AB414" s="32"/>
      <c r="AC414" s="32"/>
      <c r="AD414" s="46"/>
      <c r="AE414" s="32"/>
    </row>
    <row r="415" spans="28:31" x14ac:dyDescent="0.25">
      <c r="AB415" s="32"/>
      <c r="AC415" s="32"/>
      <c r="AD415" s="46"/>
      <c r="AE415" s="32"/>
    </row>
    <row r="416" spans="28:31" x14ac:dyDescent="0.25">
      <c r="AB416" s="32"/>
      <c r="AC416" s="32"/>
      <c r="AD416" s="46"/>
      <c r="AE416" s="32"/>
    </row>
    <row r="417" spans="28:31" x14ac:dyDescent="0.25">
      <c r="AB417" s="32"/>
      <c r="AC417" s="32"/>
      <c r="AD417" s="46"/>
      <c r="AE417" s="32"/>
    </row>
    <row r="418" spans="28:31" x14ac:dyDescent="0.25">
      <c r="AB418" s="32"/>
      <c r="AC418" s="32"/>
      <c r="AD418" s="46"/>
      <c r="AE418" s="32"/>
    </row>
    <row r="419" spans="28:31" x14ac:dyDescent="0.25">
      <c r="AB419" s="32"/>
      <c r="AC419" s="32"/>
      <c r="AD419" s="46"/>
      <c r="AE419" s="32"/>
    </row>
    <row r="420" spans="28:31" x14ac:dyDescent="0.25">
      <c r="AB420" s="32"/>
      <c r="AC420" s="32"/>
      <c r="AD420" s="46"/>
      <c r="AE420" s="32"/>
    </row>
    <row r="421" spans="28:31" x14ac:dyDescent="0.25">
      <c r="AB421" s="32"/>
      <c r="AC421" s="32"/>
      <c r="AD421" s="46"/>
      <c r="AE421" s="32"/>
    </row>
    <row r="422" spans="28:31" x14ac:dyDescent="0.25">
      <c r="AB422" s="32"/>
      <c r="AC422" s="32"/>
      <c r="AD422" s="46"/>
      <c r="AE422" s="32"/>
    </row>
    <row r="423" spans="28:31" x14ac:dyDescent="0.25">
      <c r="AB423" s="32"/>
      <c r="AC423" s="32"/>
      <c r="AD423" s="46"/>
      <c r="AE423" s="32"/>
    </row>
    <row r="424" spans="28:31" x14ac:dyDescent="0.25">
      <c r="AB424" s="32"/>
      <c r="AC424" s="32"/>
      <c r="AD424" s="46"/>
      <c r="AE424" s="32"/>
    </row>
    <row r="425" spans="28:31" x14ac:dyDescent="0.25">
      <c r="AB425" s="32"/>
      <c r="AC425" s="32"/>
      <c r="AD425" s="46"/>
      <c r="AE425" s="32"/>
    </row>
    <row r="426" spans="28:31" x14ac:dyDescent="0.25">
      <c r="AB426" s="32"/>
      <c r="AC426" s="32"/>
      <c r="AD426" s="46"/>
      <c r="AE426" s="32"/>
    </row>
    <row r="427" spans="28:31" x14ac:dyDescent="0.25">
      <c r="AB427" s="32"/>
      <c r="AC427" s="32"/>
      <c r="AD427" s="46"/>
      <c r="AE427" s="32"/>
    </row>
    <row r="428" spans="28:31" x14ac:dyDescent="0.25">
      <c r="AB428" s="32"/>
      <c r="AC428" s="32"/>
      <c r="AD428" s="46"/>
      <c r="AE428" s="32"/>
    </row>
    <row r="429" spans="28:31" x14ac:dyDescent="0.25">
      <c r="AB429" s="32"/>
      <c r="AC429" s="32"/>
      <c r="AD429" s="46"/>
      <c r="AE429" s="32"/>
    </row>
    <row r="430" spans="28:31" x14ac:dyDescent="0.25">
      <c r="AB430" s="32"/>
      <c r="AC430" s="32"/>
      <c r="AD430" s="46"/>
      <c r="AE430" s="32"/>
    </row>
    <row r="431" spans="28:31" x14ac:dyDescent="0.25">
      <c r="AB431" s="32"/>
      <c r="AC431" s="32"/>
      <c r="AD431" s="46"/>
      <c r="AE431" s="32"/>
    </row>
    <row r="432" spans="28:31" x14ac:dyDescent="0.25">
      <c r="AB432" s="32"/>
      <c r="AC432" s="32"/>
      <c r="AD432" s="46"/>
      <c r="AE432" s="32"/>
    </row>
    <row r="433" spans="28:31" x14ac:dyDescent="0.25">
      <c r="AB433" s="32"/>
      <c r="AC433" s="32"/>
      <c r="AD433" s="46"/>
      <c r="AE433" s="32"/>
    </row>
    <row r="434" spans="28:31" x14ac:dyDescent="0.25">
      <c r="AB434" s="32"/>
      <c r="AC434" s="32"/>
      <c r="AD434" s="46"/>
      <c r="AE434" s="32"/>
    </row>
    <row r="435" spans="28:31" x14ac:dyDescent="0.25">
      <c r="AB435" s="32"/>
      <c r="AC435" s="32"/>
      <c r="AD435" s="46"/>
      <c r="AE435" s="32"/>
    </row>
    <row r="436" spans="28:31" x14ac:dyDescent="0.25">
      <c r="AB436" s="32"/>
      <c r="AC436" s="32"/>
      <c r="AD436" s="46"/>
      <c r="AE436" s="32"/>
    </row>
    <row r="437" spans="28:31" x14ac:dyDescent="0.25">
      <c r="AB437" s="32"/>
      <c r="AC437" s="32"/>
      <c r="AD437" s="46"/>
      <c r="AE437" s="32"/>
    </row>
    <row r="438" spans="28:31" x14ac:dyDescent="0.25">
      <c r="AB438" s="32"/>
      <c r="AC438" s="32"/>
      <c r="AD438" s="46"/>
      <c r="AE438" s="32"/>
    </row>
    <row r="439" spans="28:31" x14ac:dyDescent="0.25">
      <c r="AB439" s="32"/>
      <c r="AC439" s="32"/>
      <c r="AD439" s="46"/>
      <c r="AE439" s="32"/>
    </row>
    <row r="440" spans="28:31" x14ac:dyDescent="0.25">
      <c r="AB440" s="32"/>
      <c r="AC440" s="32"/>
      <c r="AD440" s="46"/>
      <c r="AE440" s="32"/>
    </row>
    <row r="441" spans="28:31" x14ac:dyDescent="0.25">
      <c r="AB441" s="32"/>
      <c r="AC441" s="32"/>
      <c r="AD441" s="46"/>
      <c r="AE441" s="32"/>
    </row>
    <row r="442" spans="28:31" x14ac:dyDescent="0.25">
      <c r="AB442" s="32"/>
      <c r="AC442" s="32"/>
      <c r="AD442" s="46"/>
      <c r="AE442" s="32"/>
    </row>
    <row r="443" spans="28:31" x14ac:dyDescent="0.25">
      <c r="AB443" s="32"/>
      <c r="AC443" s="32"/>
      <c r="AD443" s="46"/>
      <c r="AE443" s="32"/>
    </row>
    <row r="444" spans="28:31" x14ac:dyDescent="0.25">
      <c r="AB444" s="32"/>
      <c r="AC444" s="32"/>
      <c r="AD444" s="46"/>
      <c r="AE444" s="32"/>
    </row>
    <row r="445" spans="28:31" x14ac:dyDescent="0.25">
      <c r="AB445" s="32"/>
      <c r="AC445" s="32"/>
      <c r="AD445" s="46"/>
      <c r="AE445" s="32"/>
    </row>
    <row r="446" spans="28:31" x14ac:dyDescent="0.25">
      <c r="AB446" s="32"/>
      <c r="AC446" s="32"/>
      <c r="AD446" s="46"/>
      <c r="AE446" s="32"/>
    </row>
    <row r="447" spans="28:31" x14ac:dyDescent="0.25">
      <c r="AB447" s="32"/>
      <c r="AC447" s="32"/>
      <c r="AD447" s="46"/>
      <c r="AE447" s="32"/>
    </row>
    <row r="448" spans="28:31" x14ac:dyDescent="0.25">
      <c r="AB448" s="32"/>
      <c r="AC448" s="32"/>
      <c r="AD448" s="46"/>
      <c r="AE448" s="32"/>
    </row>
    <row r="449" spans="28:31" x14ac:dyDescent="0.25">
      <c r="AB449" s="32"/>
      <c r="AC449" s="32"/>
      <c r="AD449" s="46"/>
      <c r="AE449" s="32"/>
    </row>
    <row r="450" spans="28:31" x14ac:dyDescent="0.25">
      <c r="AB450" s="32"/>
      <c r="AC450" s="32"/>
      <c r="AD450" s="46"/>
      <c r="AE450" s="32"/>
    </row>
    <row r="451" spans="28:31" x14ac:dyDescent="0.25">
      <c r="AB451" s="32"/>
      <c r="AC451" s="32"/>
      <c r="AD451" s="46"/>
      <c r="AE451" s="32"/>
    </row>
    <row r="452" spans="28:31" x14ac:dyDescent="0.25">
      <c r="AB452" s="32"/>
      <c r="AC452" s="32"/>
      <c r="AD452" s="46"/>
      <c r="AE452" s="32"/>
    </row>
    <row r="453" spans="28:31" x14ac:dyDescent="0.25">
      <c r="AB453" s="32"/>
      <c r="AC453" s="32"/>
      <c r="AD453" s="46"/>
      <c r="AE453" s="32"/>
    </row>
    <row r="454" spans="28:31" x14ac:dyDescent="0.25">
      <c r="AB454" s="32"/>
      <c r="AC454" s="32"/>
      <c r="AD454" s="46"/>
      <c r="AE454" s="32"/>
    </row>
    <row r="455" spans="28:31" x14ac:dyDescent="0.25">
      <c r="AB455" s="32"/>
      <c r="AC455" s="32"/>
      <c r="AD455" s="46"/>
      <c r="AE455" s="32"/>
    </row>
    <row r="456" spans="28:31" x14ac:dyDescent="0.25">
      <c r="AB456" s="32"/>
      <c r="AC456" s="32"/>
      <c r="AD456" s="46"/>
      <c r="AE456" s="32"/>
    </row>
    <row r="457" spans="28:31" x14ac:dyDescent="0.25">
      <c r="AB457" s="32"/>
      <c r="AC457" s="32"/>
      <c r="AD457" s="46"/>
      <c r="AE457" s="32"/>
    </row>
    <row r="458" spans="28:31" x14ac:dyDescent="0.25">
      <c r="AB458" s="32"/>
      <c r="AC458" s="32"/>
      <c r="AD458" s="46"/>
      <c r="AE458" s="32"/>
    </row>
    <row r="459" spans="28:31" x14ac:dyDescent="0.25">
      <c r="AB459" s="32"/>
      <c r="AC459" s="32"/>
      <c r="AD459" s="46"/>
      <c r="AE459" s="32"/>
    </row>
    <row r="460" spans="28:31" x14ac:dyDescent="0.25">
      <c r="AB460" s="32"/>
      <c r="AC460" s="32"/>
      <c r="AD460" s="46"/>
      <c r="AE460" s="32"/>
    </row>
    <row r="461" spans="28:31" x14ac:dyDescent="0.25">
      <c r="AB461" s="32"/>
      <c r="AC461" s="32"/>
      <c r="AD461" s="46"/>
      <c r="AE461" s="32"/>
    </row>
    <row r="462" spans="28:31" x14ac:dyDescent="0.25">
      <c r="AB462" s="32"/>
      <c r="AC462" s="32"/>
      <c r="AD462" s="46"/>
      <c r="AE462" s="32"/>
    </row>
    <row r="463" spans="28:31" x14ac:dyDescent="0.25">
      <c r="AB463" s="32"/>
      <c r="AC463" s="32"/>
      <c r="AD463" s="46"/>
      <c r="AE463" s="32"/>
    </row>
    <row r="464" spans="28:31" x14ac:dyDescent="0.25">
      <c r="AB464" s="32"/>
      <c r="AC464" s="32"/>
      <c r="AD464" s="46"/>
      <c r="AE464" s="32"/>
    </row>
    <row r="465" spans="28:31" x14ac:dyDescent="0.25">
      <c r="AB465" s="32"/>
      <c r="AC465" s="32"/>
      <c r="AD465" s="46"/>
      <c r="AE465" s="32"/>
    </row>
    <row r="466" spans="28:31" x14ac:dyDescent="0.25">
      <c r="AB466" s="32"/>
      <c r="AC466" s="32"/>
      <c r="AD466" s="46"/>
      <c r="AE466" s="32"/>
    </row>
    <row r="467" spans="28:31" x14ac:dyDescent="0.25">
      <c r="AB467" s="32"/>
      <c r="AC467" s="32"/>
      <c r="AD467" s="46"/>
      <c r="AE467" s="32"/>
    </row>
    <row r="468" spans="28:31" x14ac:dyDescent="0.25">
      <c r="AB468" s="32"/>
      <c r="AC468" s="32"/>
      <c r="AD468" s="46"/>
      <c r="AE468" s="32"/>
    </row>
    <row r="469" spans="28:31" x14ac:dyDescent="0.25">
      <c r="AB469" s="32"/>
      <c r="AC469" s="32"/>
      <c r="AD469" s="46"/>
      <c r="AE469" s="32"/>
    </row>
    <row r="470" spans="28:31" x14ac:dyDescent="0.25">
      <c r="AB470" s="32"/>
      <c r="AC470" s="32"/>
      <c r="AD470" s="46"/>
      <c r="AE470" s="32"/>
    </row>
    <row r="471" spans="28:31" x14ac:dyDescent="0.25">
      <c r="AB471" s="32"/>
      <c r="AC471" s="32"/>
      <c r="AD471" s="46"/>
      <c r="AE471" s="32"/>
    </row>
    <row r="472" spans="28:31" x14ac:dyDescent="0.25">
      <c r="AB472" s="32"/>
      <c r="AC472" s="32"/>
      <c r="AD472" s="46"/>
      <c r="AE472" s="32"/>
    </row>
    <row r="473" spans="28:31" x14ac:dyDescent="0.25">
      <c r="AB473" s="32"/>
      <c r="AC473" s="32"/>
      <c r="AD473" s="46"/>
      <c r="AE473" s="32"/>
    </row>
    <row r="474" spans="28:31" x14ac:dyDescent="0.25">
      <c r="AB474" s="32"/>
      <c r="AC474" s="32"/>
      <c r="AD474" s="46"/>
      <c r="AE474" s="32"/>
    </row>
    <row r="475" spans="28:31" x14ac:dyDescent="0.25">
      <c r="AB475" s="32"/>
      <c r="AC475" s="32"/>
      <c r="AD475" s="46"/>
      <c r="AE475" s="32"/>
    </row>
    <row r="476" spans="28:31" x14ac:dyDescent="0.25">
      <c r="AB476" s="32"/>
      <c r="AC476" s="32"/>
      <c r="AD476" s="46"/>
      <c r="AE476" s="32"/>
    </row>
    <row r="477" spans="28:31" x14ac:dyDescent="0.25">
      <c r="AB477" s="32"/>
      <c r="AC477" s="32"/>
      <c r="AD477" s="46"/>
      <c r="AE477" s="32"/>
    </row>
    <row r="478" spans="28:31" x14ac:dyDescent="0.25">
      <c r="AB478" s="32"/>
      <c r="AC478" s="32"/>
      <c r="AD478" s="46"/>
      <c r="AE478" s="32"/>
    </row>
    <row r="479" spans="28:31" x14ac:dyDescent="0.25">
      <c r="AB479" s="32"/>
      <c r="AC479" s="32"/>
      <c r="AD479" s="46"/>
      <c r="AE479" s="32"/>
    </row>
    <row r="480" spans="28:31" x14ac:dyDescent="0.25">
      <c r="AB480" s="32"/>
      <c r="AC480" s="32"/>
      <c r="AD480" s="46"/>
      <c r="AE480" s="32"/>
    </row>
    <row r="481" spans="28:31" x14ac:dyDescent="0.25">
      <c r="AB481" s="32"/>
      <c r="AC481" s="32"/>
      <c r="AD481" s="46"/>
      <c r="AE481" s="32"/>
    </row>
    <row r="482" spans="28:31" x14ac:dyDescent="0.25">
      <c r="AB482" s="32"/>
      <c r="AC482" s="32"/>
      <c r="AD482" s="46"/>
      <c r="AE482" s="32"/>
    </row>
    <row r="483" spans="28:31" x14ac:dyDescent="0.25">
      <c r="AB483" s="32"/>
      <c r="AC483" s="32"/>
      <c r="AD483" s="46"/>
      <c r="AE483" s="32"/>
    </row>
    <row r="484" spans="28:31" x14ac:dyDescent="0.25">
      <c r="AB484" s="32"/>
      <c r="AC484" s="32"/>
      <c r="AD484" s="46"/>
      <c r="AE484" s="32"/>
    </row>
    <row r="485" spans="28:31" x14ac:dyDescent="0.25">
      <c r="AB485" s="32"/>
      <c r="AC485" s="32"/>
      <c r="AD485" s="46"/>
      <c r="AE485" s="32"/>
    </row>
    <row r="486" spans="28:31" x14ac:dyDescent="0.25">
      <c r="AB486" s="32"/>
      <c r="AC486" s="32"/>
      <c r="AD486" s="46"/>
      <c r="AE486" s="32"/>
    </row>
    <row r="487" spans="28:31" x14ac:dyDescent="0.25">
      <c r="AB487" s="32"/>
      <c r="AC487" s="32"/>
      <c r="AD487" s="46"/>
      <c r="AE487" s="32"/>
    </row>
    <row r="488" spans="28:31" x14ac:dyDescent="0.25">
      <c r="AB488" s="32"/>
      <c r="AC488" s="32"/>
      <c r="AD488" s="46"/>
      <c r="AE488" s="32"/>
    </row>
    <row r="489" spans="28:31" x14ac:dyDescent="0.25">
      <c r="AB489" s="32"/>
      <c r="AC489" s="32"/>
      <c r="AD489" s="46"/>
      <c r="AE489" s="32"/>
    </row>
    <row r="490" spans="28:31" x14ac:dyDescent="0.25">
      <c r="AB490" s="32"/>
      <c r="AC490" s="32"/>
      <c r="AD490" s="46"/>
      <c r="AE490" s="32"/>
    </row>
    <row r="491" spans="28:31" x14ac:dyDescent="0.25">
      <c r="AB491" s="32"/>
      <c r="AC491" s="32"/>
      <c r="AD491" s="46"/>
      <c r="AE491" s="32"/>
    </row>
    <row r="492" spans="28:31" x14ac:dyDescent="0.25">
      <c r="AB492" s="32"/>
      <c r="AC492" s="32"/>
      <c r="AD492" s="46"/>
      <c r="AE492" s="32"/>
    </row>
    <row r="493" spans="28:31" x14ac:dyDescent="0.25">
      <c r="AB493" s="32"/>
      <c r="AC493" s="32"/>
      <c r="AD493" s="46"/>
      <c r="AE493" s="32"/>
    </row>
    <row r="494" spans="28:31" x14ac:dyDescent="0.25">
      <c r="AB494" s="32"/>
      <c r="AC494" s="32"/>
      <c r="AD494" s="46"/>
      <c r="AE494" s="32"/>
    </row>
    <row r="495" spans="28:31" x14ac:dyDescent="0.25">
      <c r="AB495" s="32"/>
      <c r="AC495" s="32"/>
      <c r="AD495" s="46"/>
      <c r="AE495" s="32"/>
    </row>
    <row r="496" spans="28:31" x14ac:dyDescent="0.25">
      <c r="AB496" s="32"/>
      <c r="AC496" s="32"/>
      <c r="AD496" s="46"/>
      <c r="AE496" s="32"/>
    </row>
    <row r="497" spans="28:31" x14ac:dyDescent="0.25">
      <c r="AB497" s="32"/>
      <c r="AC497" s="32"/>
      <c r="AD497" s="46"/>
      <c r="AE497" s="32"/>
    </row>
    <row r="498" spans="28:31" x14ac:dyDescent="0.25">
      <c r="AB498" s="32"/>
      <c r="AC498" s="32"/>
      <c r="AD498" s="46"/>
      <c r="AE498" s="32"/>
    </row>
    <row r="499" spans="28:31" x14ac:dyDescent="0.25">
      <c r="AB499" s="32"/>
      <c r="AC499" s="32"/>
      <c r="AD499" s="46"/>
      <c r="AE499" s="32"/>
    </row>
    <row r="500" spans="28:31" x14ac:dyDescent="0.25">
      <c r="AB500" s="32"/>
      <c r="AC500" s="32"/>
      <c r="AD500" s="46"/>
      <c r="AE500" s="32"/>
    </row>
    <row r="501" spans="28:31" x14ac:dyDescent="0.25">
      <c r="AB501" s="32"/>
      <c r="AC501" s="32"/>
      <c r="AD501" s="46"/>
      <c r="AE501" s="32"/>
    </row>
    <row r="502" spans="28:31" x14ac:dyDescent="0.25">
      <c r="AB502" s="32"/>
      <c r="AC502" s="32"/>
      <c r="AD502" s="46"/>
      <c r="AE502" s="32"/>
    </row>
    <row r="503" spans="28:31" x14ac:dyDescent="0.25">
      <c r="AB503" s="32"/>
      <c r="AC503" s="32"/>
      <c r="AD503" s="46"/>
      <c r="AE503" s="32"/>
    </row>
    <row r="504" spans="28:31" x14ac:dyDescent="0.25">
      <c r="AB504" s="32"/>
      <c r="AC504" s="32"/>
      <c r="AD504" s="46"/>
      <c r="AE504" s="32"/>
    </row>
    <row r="505" spans="28:31" x14ac:dyDescent="0.25">
      <c r="AB505" s="32"/>
      <c r="AC505" s="32"/>
      <c r="AD505" s="46"/>
      <c r="AE505" s="32"/>
    </row>
    <row r="506" spans="28:31" x14ac:dyDescent="0.25">
      <c r="AB506" s="32"/>
      <c r="AC506" s="32"/>
      <c r="AD506" s="46"/>
      <c r="AE506" s="32"/>
    </row>
  </sheetData>
  <sheetProtection algorithmName="SHA-512" hashValue="yeBmoBjf3F012GKqYjrA6KDjqHFnUWCUzk+9IB3kgbvJWKd5Erst2cFSOp2uFSyMOvZ74rNuoacSwx+Fbdz5Dg==" saltValue="cJdh3uerMKmk3FkYLGtlig==" spinCount="100000" sheet="1" objects="1" scenarios="1" selectLockedCells="1" selectUnlockedCells="1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185CA469F0F448ABDD6EDC822DAF8" ma:contentTypeVersion="6" ma:contentTypeDescription="Create a new document." ma:contentTypeScope="" ma:versionID="c65c5b1e6fcdfce2543a9218be460c1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6e4863383729cb444416dcdc8f5e0b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763D45-546A-4069-905D-30BACAC080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DA3632-28D3-4A6B-8978-AB8B24EB693C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473FFC8-F114-4F0C-B55A-9B7574A18C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Tool</vt:lpstr>
      <vt:lpstr>S</vt:lpstr>
      <vt:lpstr>MZ</vt:lpstr>
      <vt:lpstr>Vis</vt:lpstr>
    </vt:vector>
  </TitlesOfParts>
  <Company>MARIN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avoogt</dc:creator>
  <cp:lastModifiedBy>Kelly Hadley</cp:lastModifiedBy>
  <cp:lastPrinted>2020-04-03T17:13:03Z</cp:lastPrinted>
  <dcterms:created xsi:type="dcterms:W3CDTF">2019-09-10T00:53:00Z</dcterms:created>
  <dcterms:modified xsi:type="dcterms:W3CDTF">2020-11-04T09:19:30Z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1033</vt:lpwstr>
  </property>
  <property fmtid="{D5CDD505-2E9C-101B-9397-08002B2CF9AE}" pid="3" name="ContentTypeId">
    <vt:lpwstr>0x01010054A185CA469F0F448ABDD6EDC822DAF8</vt:lpwstr>
  </property>
</Properties>
</file>